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D:\2_NIDP\27_MYT Petition\38_Final Petition for Printing_02.12.2025\"/>
    </mc:Choice>
  </mc:AlternateContent>
  <xr:revisionPtr revIDLastSave="0" documentId="13_ncr:1_{A90A5E9A-3D7A-4637-990B-B876FE3A6164}" xr6:coauthVersionLast="47" xr6:coauthVersionMax="47" xr10:uidLastSave="{00000000-0000-0000-0000-000000000000}"/>
  <bookViews>
    <workbookView xWindow="-98" yWindow="-98" windowWidth="20715" windowHeight="13155" tabRatio="934" firstSheet="1" activeTab="1" xr2:uid="{00000000-000D-0000-FFFF-FFFF00000000}"/>
  </bookViews>
  <sheets>
    <sheet name="Working" sheetId="215" state="hidden" r:id="rId1"/>
    <sheet name="Index" sheetId="214" r:id="rId2"/>
    <sheet name="BS1" sheetId="73" r:id="rId3"/>
    <sheet name="BS2" sheetId="74" r:id="rId4"/>
    <sheet name="BS3" sheetId="75" r:id="rId5"/>
    <sheet name="True up-snapshot" sheetId="174" r:id="rId6"/>
    <sheet name="Energy Balance" sheetId="77" r:id="rId7"/>
    <sheet name="APR Snapshot" sheetId="175" r:id="rId8"/>
    <sheet name="ARR" sheetId="2" r:id="rId9"/>
    <sheet name="ARR snapshot" sheetId="176" r:id="rId10"/>
    <sheet name="ESR1_OA" sheetId="152" r:id="rId11"/>
    <sheet name="ESR2_Sales Forecast" sheetId="90" r:id="rId12"/>
    <sheet name="ESR3_Curr Tariff" sheetId="92" r:id="rId13"/>
    <sheet name="ESR4_Prop Tariff" sheetId="206" r:id="rId14"/>
    <sheet name="ESR4A_Prop Tariff Rate Sch." sheetId="178" r:id="rId15"/>
    <sheet name="ESR5_BD&amp;Rev" sheetId="180" r:id="rId16"/>
    <sheet name="ESR6_Subsidy" sheetId="183" r:id="rId17"/>
    <sheet name="ESR7_BD monthly" sheetId="212" r:id="rId18"/>
    <sheet name="F1_PP_Annual" sheetId="102" r:id="rId19"/>
    <sheet name="F2_PP_Assump" sheetId="188" r:id="rId20"/>
    <sheet name="F3_PP_Monthly 24-25" sheetId="185" r:id="rId21"/>
    <sheet name="F3.1_PP_Monthly 25-26" sheetId="217" r:id="rId22"/>
    <sheet name="F3.2_PP_Monthly 26-27" sheetId="218" r:id="rId23"/>
    <sheet name="F4_PP_MOD" sheetId="194" r:id="rId24"/>
    <sheet name="F5_PP_Renew" sheetId="162" r:id="rId25"/>
    <sheet name="F6_PP6_RPO" sheetId="207" r:id="rId26"/>
    <sheet name="F7_PP_Comp Bid" sheetId="164" r:id="rId27"/>
    <sheet name="F8_PP_Short Term" sheetId="208" r:id="rId28"/>
    <sheet name="F9_PP_plan" sheetId="159" r:id="rId29"/>
    <sheet name="F10_PP_BST" sheetId="187" r:id="rId30"/>
    <sheet name="F11_CAP_Asset not in use" sheetId="107" r:id="rId31"/>
    <sheet name="F12_CAP_Cons Contri" sheetId="111" r:id="rId32"/>
    <sheet name="F13_CAP_Plan" sheetId="126" r:id="rId33"/>
    <sheet name="F14_CAP_Cap Cost" sheetId="114" r:id="rId34"/>
    <sheet name="F15_CAP_CWIP" sheetId="115" r:id="rId35"/>
    <sheet name="F16_CAP_CAPEX &amp; CAPITALISATION" sheetId="203" r:id="rId36"/>
    <sheet name="F17_O&amp;M_CPI" sheetId="201" r:id="rId37"/>
    <sheet name="F18_O&amp;M_WPI" sheetId="202" r:id="rId38"/>
    <sheet name="F19_O&amp;M_EE n AG base" sheetId="167" r:id="rId39"/>
    <sheet name="F20_O&amp;M_EE" sheetId="65" r:id="rId40"/>
    <sheet name="F21_O&amp;M_EE (A)" sheetId="32" r:id="rId41"/>
    <sheet name="F22_O&amp;M_R&amp;M" sheetId="34" r:id="rId42"/>
    <sheet name="F23_O&amp;M_A&amp;G" sheetId="62" r:id="rId43"/>
    <sheet name="F24_Dep" sheetId="171" r:id="rId44"/>
    <sheet name="F25_IOL" sheetId="172" r:id="rId45"/>
    <sheet name="F26_ROE" sheetId="122" r:id="rId46"/>
    <sheet name="F27_Work Cap" sheetId="44" r:id="rId47"/>
    <sheet name="F28_NTI" sheetId="45" r:id="rId48"/>
    <sheet name="F29_Income Tax" sheetId="48" r:id="rId49"/>
    <sheet name="F30_CSD monthly" sheetId="210" r:id="rId50"/>
    <sheet name="F30A_CSD" sheetId="67" r:id="rId51"/>
    <sheet name="F31_Recievables" sheetId="68" r:id="rId52"/>
    <sheet name="F32_Wheeling-Supply" sheetId="173" r:id="rId53"/>
    <sheet name="F33_CSS" sheetId="209" r:id="rId54"/>
    <sheet name="P1_DL" sheetId="177" r:id="rId55"/>
    <sheet name="P1A_DL HT-LT" sheetId="129" r:id="rId56"/>
    <sheet name="P2_AVG Supply HRS" sheetId="181" r:id="rId57"/>
    <sheet name="P3_Bad Debts" sheetId="193" r:id="rId58"/>
    <sheet name="P4_Phy Stat" sheetId="137" r:id="rId59"/>
    <sheet name="P5_Arrear" sheetId="138" r:id="rId60"/>
    <sheet name="P6_Cons Complaints" sheetId="140" r:id="rId61"/>
    <sheet name="P7_Trans Failure" sheetId="144" r:id="rId62"/>
    <sheet name="P8_Elec Accidents" sheetId="146" r:id="rId63"/>
    <sheet name="F9_Peak Demand" sheetId="147" r:id="rId64"/>
    <sheet name="P10_Pending Cases" sheetId="211" r:id="rId65"/>
    <sheet name="P11_Land" sheetId="213" r:id="rId66"/>
  </sheets>
  <externalReferences>
    <externalReference r:id="rId67"/>
    <externalReference r:id="rId68"/>
    <externalReference r:id="rId69"/>
    <externalReference r:id="rId70"/>
  </externalReferences>
  <definedNames>
    <definedName name="\" localSheetId="15" hidden="1">#REF!</definedName>
    <definedName name="\" localSheetId="29" hidden="1">#REF!</definedName>
    <definedName name="\" localSheetId="35" hidden="1">#REF!</definedName>
    <definedName name="\" localSheetId="23" hidden="1">#REF!</definedName>
    <definedName name="\" localSheetId="25" hidden="1">#REF!</definedName>
    <definedName name="\" localSheetId="27" hidden="1">#REF!</definedName>
    <definedName name="\" localSheetId="56" hidden="1">#REF!</definedName>
    <definedName name="\" hidden="1">#REF!</definedName>
    <definedName name="\B" localSheetId="25">#REF!</definedName>
    <definedName name="\B" localSheetId="27">#REF!</definedName>
    <definedName name="\B">#REF!</definedName>
    <definedName name="\C" localSheetId="27">#REF!</definedName>
    <definedName name="\C">#REF!</definedName>
    <definedName name="\d" localSheetId="27">#REF!</definedName>
    <definedName name="\d">#REF!</definedName>
    <definedName name="\e" localSheetId="25" hidden="1">#REF!</definedName>
    <definedName name="\e" localSheetId="27" hidden="1">#REF!</definedName>
    <definedName name="\e" hidden="1">#REF!</definedName>
    <definedName name="\f" localSheetId="27">#REF!</definedName>
    <definedName name="\f">#REF!</definedName>
    <definedName name="\g" localSheetId="27">#REF!</definedName>
    <definedName name="\g">#REF!</definedName>
    <definedName name="\H" localSheetId="27">#REF!</definedName>
    <definedName name="\H">#REF!</definedName>
    <definedName name="\I">#REF!</definedName>
    <definedName name="\J">#REF!</definedName>
    <definedName name="\K">#REF!</definedName>
    <definedName name="\L" localSheetId="27">#REF!</definedName>
    <definedName name="\L">#REF!</definedName>
    <definedName name="\M">#REF!</definedName>
    <definedName name="\N">#REF!</definedName>
    <definedName name="\O">#REF!</definedName>
    <definedName name="\P" localSheetId="27">#REF!</definedName>
    <definedName name="\P">#REF!</definedName>
    <definedName name="\Q" localSheetId="27">#REF!</definedName>
    <definedName name="\Q">#REF!</definedName>
    <definedName name="\R">#REF!</definedName>
    <definedName name="\s" localSheetId="27">#REF!</definedName>
    <definedName name="\s">#REF!</definedName>
    <definedName name="\t" localSheetId="27">#REF!</definedName>
    <definedName name="\t">#REF!</definedName>
    <definedName name="\U">#REF!</definedName>
    <definedName name="\V" localSheetId="27">#REF!</definedName>
    <definedName name="\V">#REF!</definedName>
    <definedName name="\w" localSheetId="27">#REF!</definedName>
    <definedName name="\w">#REF!</definedName>
    <definedName name="\X" localSheetId="27">#REF!</definedName>
    <definedName name="\X">#REF!</definedName>
    <definedName name="\Y">#REF!</definedName>
    <definedName name="\Z" localSheetId="27">#REF!</definedName>
    <definedName name="\Z">#REF!</definedName>
    <definedName name="_" localSheetId="25" hidden="1">#REF!</definedName>
    <definedName name="_" localSheetId="27" hidden="1">#REF!</definedName>
    <definedName name="_" hidden="1">#REF!</definedName>
    <definedName name="_____________________________________SCH6" localSheetId="15">#REF!</definedName>
    <definedName name="_____________________________________SCH6" localSheetId="29">#REF!</definedName>
    <definedName name="_____________________________________SCH6" localSheetId="35">#REF!</definedName>
    <definedName name="_____________________________________SCH6" localSheetId="23">#REF!</definedName>
    <definedName name="_____________________________________SCH6" localSheetId="25">#REF!</definedName>
    <definedName name="_____________________________________SCH6" localSheetId="27">#REF!</definedName>
    <definedName name="_____________________________________SCH6" localSheetId="56">#REF!</definedName>
    <definedName name="_____________________________________SCH6" localSheetId="57">#REF!</definedName>
    <definedName name="_____________________________________SCH6">#REF!</definedName>
    <definedName name="____________________________________SCH6" localSheetId="15">#REF!</definedName>
    <definedName name="____________________________________SCH6" localSheetId="29">#REF!</definedName>
    <definedName name="____________________________________SCH6" localSheetId="35">#REF!</definedName>
    <definedName name="____________________________________SCH6" localSheetId="25">#REF!</definedName>
    <definedName name="____________________________________SCH6" localSheetId="27">#REF!</definedName>
    <definedName name="____________________________________SCH6" localSheetId="56">#REF!</definedName>
    <definedName name="____________________________________SCH6" localSheetId="57">#REF!</definedName>
    <definedName name="____________________________________SCH6">#REF!</definedName>
    <definedName name="___________________________________SCH6" localSheetId="15">#REF!</definedName>
    <definedName name="___________________________________SCH6" localSheetId="29">#REF!</definedName>
    <definedName name="___________________________________SCH6" localSheetId="35">#REF!</definedName>
    <definedName name="___________________________________SCH6" localSheetId="25">#REF!</definedName>
    <definedName name="___________________________________SCH6" localSheetId="27">#REF!</definedName>
    <definedName name="___________________________________SCH6" localSheetId="56">#REF!</definedName>
    <definedName name="___________________________________SCH6" localSheetId="57">#REF!</definedName>
    <definedName name="___________________________________SCH6">#REF!</definedName>
    <definedName name="__________________________________SCH6" localSheetId="15">#REF!</definedName>
    <definedName name="__________________________________SCH6" localSheetId="35">#REF!</definedName>
    <definedName name="__________________________________SCH6" localSheetId="25">#REF!</definedName>
    <definedName name="__________________________________SCH6" localSheetId="27">#REF!</definedName>
    <definedName name="__________________________________SCH6" localSheetId="56">#REF!</definedName>
    <definedName name="__________________________________SCH6" localSheetId="57">#REF!</definedName>
    <definedName name="__________________________________SCH6">#REF!</definedName>
    <definedName name="_________________________________SCH6" localSheetId="15">#REF!</definedName>
    <definedName name="_________________________________SCH6" localSheetId="35">#REF!</definedName>
    <definedName name="_________________________________SCH6" localSheetId="25">#REF!</definedName>
    <definedName name="_________________________________SCH6" localSheetId="27">#REF!</definedName>
    <definedName name="_________________________________SCH6" localSheetId="56">#REF!</definedName>
    <definedName name="_________________________________SCH6" localSheetId="57">#REF!</definedName>
    <definedName name="_________________________________SCH6">#REF!</definedName>
    <definedName name="________________________________SCH6" localSheetId="15">#REF!</definedName>
    <definedName name="________________________________SCH6" localSheetId="35">#REF!</definedName>
    <definedName name="________________________________SCH6" localSheetId="25">#REF!</definedName>
    <definedName name="________________________________SCH6" localSheetId="27">#REF!</definedName>
    <definedName name="________________________________SCH6" localSheetId="56">#REF!</definedName>
    <definedName name="________________________________SCH6" localSheetId="57">#REF!</definedName>
    <definedName name="________________________________SCH6">#REF!</definedName>
    <definedName name="_______________________________SCH6" localSheetId="15">#REF!</definedName>
    <definedName name="_______________________________SCH6" localSheetId="35">#REF!</definedName>
    <definedName name="_______________________________SCH6" localSheetId="25">#REF!</definedName>
    <definedName name="_______________________________SCH6" localSheetId="27">#REF!</definedName>
    <definedName name="_______________________________SCH6" localSheetId="56">#REF!</definedName>
    <definedName name="_______________________________SCH6" localSheetId="57">#REF!</definedName>
    <definedName name="_______________________________SCH6">#REF!</definedName>
    <definedName name="______________________________SCH6" localSheetId="15">#REF!</definedName>
    <definedName name="______________________________SCH6" localSheetId="35">#REF!</definedName>
    <definedName name="______________________________SCH6" localSheetId="25">#REF!</definedName>
    <definedName name="______________________________SCH6" localSheetId="27">#REF!</definedName>
    <definedName name="______________________________SCH6" localSheetId="56">#REF!</definedName>
    <definedName name="______________________________SCH6" localSheetId="57">#REF!</definedName>
    <definedName name="______________________________SCH6">#REF!</definedName>
    <definedName name="_____________________________SCH6" localSheetId="15">#REF!</definedName>
    <definedName name="_____________________________SCH6" localSheetId="35">#REF!</definedName>
    <definedName name="_____________________________SCH6" localSheetId="25">#REF!</definedName>
    <definedName name="_____________________________SCH6" localSheetId="27">#REF!</definedName>
    <definedName name="_____________________________SCH6" localSheetId="56">#REF!</definedName>
    <definedName name="_____________________________SCH6" localSheetId="57">#REF!</definedName>
    <definedName name="_____________________________SCH6">#REF!</definedName>
    <definedName name="____________________________SCH6" localSheetId="15">#REF!</definedName>
    <definedName name="____________________________SCH6" localSheetId="35">#REF!</definedName>
    <definedName name="____________________________SCH6" localSheetId="25">#REF!</definedName>
    <definedName name="____________________________SCH6" localSheetId="27">#REF!</definedName>
    <definedName name="____________________________SCH6" localSheetId="56">#REF!</definedName>
    <definedName name="____________________________SCH6" localSheetId="57">#REF!</definedName>
    <definedName name="____________________________SCH6">#REF!</definedName>
    <definedName name="__________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SCH6" localSheetId="15">#REF!</definedName>
    <definedName name="___________________________SCH6" localSheetId="35">#REF!</definedName>
    <definedName name="___________________________SCH6" localSheetId="25">#REF!</definedName>
    <definedName name="___________________________SCH6" localSheetId="27">#REF!</definedName>
    <definedName name="___________________________SCH6" localSheetId="56">#REF!</definedName>
    <definedName name="___________________________SCH6" localSheetId="57">#REF!</definedName>
    <definedName name="___________________________SCH6">#REF!</definedName>
    <definedName name="___________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SCH6" localSheetId="15">#REF!</definedName>
    <definedName name="__________________________SCH6" localSheetId="35">#REF!</definedName>
    <definedName name="__________________________SCH6" localSheetId="25">#REF!</definedName>
    <definedName name="__________________________SCH6" localSheetId="27">#REF!</definedName>
    <definedName name="__________________________SCH6" localSheetId="56">#REF!</definedName>
    <definedName name="__________________________SCH6" localSheetId="57">#REF!</definedName>
    <definedName name="__________________________SCH6">#REF!</definedName>
    <definedName name="__________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SCH6" localSheetId="15">#REF!</definedName>
    <definedName name="_________________________SCH6" localSheetId="35">#REF!</definedName>
    <definedName name="_________________________SCH6" localSheetId="25">#REF!</definedName>
    <definedName name="_________________________SCH6" localSheetId="27">#REF!</definedName>
    <definedName name="_________________________SCH6" localSheetId="56">#REF!</definedName>
    <definedName name="_________________________SCH6" localSheetId="57">#REF!</definedName>
    <definedName name="_________________________SCH6">#REF!</definedName>
    <definedName name="_________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SCH6" localSheetId="15">#REF!</definedName>
    <definedName name="________________________SCH6" localSheetId="35">#REF!</definedName>
    <definedName name="________________________SCH6" localSheetId="25">#REF!</definedName>
    <definedName name="________________________SCH6" localSheetId="27">#REF!</definedName>
    <definedName name="________________________SCH6" localSheetId="56">#REF!</definedName>
    <definedName name="________________________SCH6" localSheetId="57">#REF!</definedName>
    <definedName name="________________________SCH6">#REF!</definedName>
    <definedName name="________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SCH6" localSheetId="15">#REF!</definedName>
    <definedName name="_______________________SCH6" localSheetId="35">#REF!</definedName>
    <definedName name="_______________________SCH6" localSheetId="25">#REF!</definedName>
    <definedName name="_______________________SCH6" localSheetId="27">#REF!</definedName>
    <definedName name="_______________________SCH6" localSheetId="56">#REF!</definedName>
    <definedName name="_______________________SCH6" localSheetId="57">#REF!</definedName>
    <definedName name="_______________________SCH6">#REF!</definedName>
    <definedName name="______________________SCH6" localSheetId="15">#REF!</definedName>
    <definedName name="______________________SCH6" localSheetId="35">#REF!</definedName>
    <definedName name="______________________SCH6" localSheetId="25">#REF!</definedName>
    <definedName name="______________________SCH6" localSheetId="27">#REF!</definedName>
    <definedName name="______________________SCH6" localSheetId="56">#REF!</definedName>
    <definedName name="______________________SCH6" localSheetId="57">#REF!</definedName>
    <definedName name="______________________SCH6">#REF!</definedName>
    <definedName name="_____________________a65565" localSheetId="25">#REF!</definedName>
    <definedName name="_____________________a65565">#REF!</definedName>
    <definedName name="____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SCH6" localSheetId="15">#REF!</definedName>
    <definedName name="_____________________SCH6" localSheetId="35">#REF!</definedName>
    <definedName name="_____________________SCH6" localSheetId="25">#REF!</definedName>
    <definedName name="_____________________SCH6" localSheetId="27">#REF!</definedName>
    <definedName name="_____________________SCH6" localSheetId="56">#REF!</definedName>
    <definedName name="_____________________SCH6" localSheetId="57">#REF!</definedName>
    <definedName name="_____________________SCH6">#REF!</definedName>
    <definedName name="____________________a65565" localSheetId="25">#REF!</definedName>
    <definedName name="____________________a65565">#REF!</definedName>
    <definedName name="____________________BSD1" localSheetId="25">#REF!</definedName>
    <definedName name="____________________BSD1">#REF!</definedName>
    <definedName name="____________________BSD2" localSheetId="25">#REF!</definedName>
    <definedName name="____________________BSD2">#REF!</definedName>
    <definedName name="____________________IED1">#REF!</definedName>
    <definedName name="____________________IED2">#REF!</definedName>
    <definedName name="___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65565" localSheetId="25">#REF!</definedName>
    <definedName name="___________________a65565">#REF!</definedName>
    <definedName name="____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BSD1" localSheetId="25">#REF!</definedName>
    <definedName name="___________________BSD1">#REF!</definedName>
    <definedName name="___________________BSD2" localSheetId="25">#REF!</definedName>
    <definedName name="___________________BSD2">#REF!</definedName>
    <definedName name="___________________IED1" localSheetId="25">#REF!</definedName>
    <definedName name="___________________IED1">#REF!</definedName>
    <definedName name="___________________IED2">#REF!</definedName>
    <definedName name="__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NCS111" localSheetId="25">#REF!</definedName>
    <definedName name="___________________NCS111">#REF!</definedName>
    <definedName name="___________________SCH6" localSheetId="15">#REF!</definedName>
    <definedName name="___________________SCH6" localSheetId="35">#REF!</definedName>
    <definedName name="___________________SCH6" localSheetId="25">#REF!</definedName>
    <definedName name="___________________SCH6" localSheetId="27">#REF!</definedName>
    <definedName name="___________________SCH6" localSheetId="56">#REF!</definedName>
    <definedName name="___________________SCH6" localSheetId="57">#REF!</definedName>
    <definedName name="___________________SCH6">#REF!</definedName>
    <definedName name="__________________a65565" localSheetId="25">#REF!</definedName>
    <definedName name="__________________a65565">#REF!</definedName>
    <definedName name="___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BSD1" localSheetId="25">#REF!</definedName>
    <definedName name="__________________BSD1">#REF!</definedName>
    <definedName name="__________________BSD2" localSheetId="25">#REF!</definedName>
    <definedName name="__________________BSD2">#REF!</definedName>
    <definedName name="__________________IED1" localSheetId="25">#REF!</definedName>
    <definedName name="__________________IED1">#REF!</definedName>
    <definedName name="__________________IED2">#REF!</definedName>
    <definedName name="_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NCS111" localSheetId="25">#REF!</definedName>
    <definedName name="__________________NCS111">#REF!</definedName>
    <definedName name="__________________SCH6" localSheetId="15">#REF!</definedName>
    <definedName name="__________________SCH6" localSheetId="35">#REF!</definedName>
    <definedName name="__________________SCH6" localSheetId="25">#REF!</definedName>
    <definedName name="__________________SCH6" localSheetId="27">#REF!</definedName>
    <definedName name="__________________SCH6" localSheetId="56">#REF!</definedName>
    <definedName name="__________________SCH6" localSheetId="57">#REF!</definedName>
    <definedName name="__________________SCH6">#REF!</definedName>
    <definedName name="_________________a65565" localSheetId="25">#REF!</definedName>
    <definedName name="_________________a65565">#REF!</definedName>
    <definedName name="__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BSD1" localSheetId="25">#REF!</definedName>
    <definedName name="_________________BSD1">#REF!</definedName>
    <definedName name="_________________BSD2" localSheetId="25">#REF!</definedName>
    <definedName name="_________________BSD2">#REF!</definedName>
    <definedName name="_________________IED1" localSheetId="25">#REF!</definedName>
    <definedName name="_________________IED1">#REF!</definedName>
    <definedName name="_________________IED2">#REF!</definedName>
    <definedName name="_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NCS111" localSheetId="25">#REF!</definedName>
    <definedName name="_________________NCS111">#REF!</definedName>
    <definedName name="_________________SCH6" localSheetId="15">#REF!</definedName>
    <definedName name="_________________SCH6" localSheetId="35">#REF!</definedName>
    <definedName name="_________________SCH6" localSheetId="25">#REF!</definedName>
    <definedName name="_________________SCH6" localSheetId="27">#REF!</definedName>
    <definedName name="_________________SCH6" localSheetId="56">#REF!</definedName>
    <definedName name="_________________SCH6" localSheetId="57">#REF!</definedName>
    <definedName name="_________________SCH6">#REF!</definedName>
    <definedName name="________________a65565" localSheetId="25">#REF!</definedName>
    <definedName name="________________a65565">#REF!</definedName>
    <definedName name="________________Apr02" localSheetId="25">#REF!</definedName>
    <definedName name="________________Apr02" localSheetId="27">#REF!</definedName>
    <definedName name="________________Apr02">#REF!</definedName>
    <definedName name="________________Apr03" localSheetId="25">#REF!</definedName>
    <definedName name="________________Apr03" localSheetId="27">#REF!</definedName>
    <definedName name="________________Apr03">#REF!</definedName>
    <definedName name="________________Apr04" localSheetId="27">#REF!</definedName>
    <definedName name="________________Apr04">#REF!</definedName>
    <definedName name="________________Apr05" localSheetId="27">#REF!</definedName>
    <definedName name="________________Apr05">#REF!</definedName>
    <definedName name="________________Apr06" localSheetId="27">#REF!</definedName>
    <definedName name="________________Apr06">#REF!</definedName>
    <definedName name="________________Apr07" localSheetId="27">#REF!</definedName>
    <definedName name="________________Apr07">#REF!</definedName>
    <definedName name="________________Apr08" localSheetId="27">#REF!</definedName>
    <definedName name="________________Apr08">#REF!</definedName>
    <definedName name="________________Apr09" localSheetId="27">#REF!</definedName>
    <definedName name="________________Apr09">#REF!</definedName>
    <definedName name="________________Apr10" localSheetId="27">#REF!</definedName>
    <definedName name="________________Apr10">#REF!</definedName>
    <definedName name="________________Apr11" localSheetId="27">#REF!</definedName>
    <definedName name="________________Apr11">#REF!</definedName>
    <definedName name="________________Apr13" localSheetId="27">#REF!</definedName>
    <definedName name="________________Apr13">#REF!</definedName>
    <definedName name="________________Apr14" localSheetId="27">#REF!</definedName>
    <definedName name="________________Apr14">#REF!</definedName>
    <definedName name="________________Apr15" localSheetId="27">#REF!</definedName>
    <definedName name="________________Apr15">#REF!</definedName>
    <definedName name="________________Apr16" localSheetId="27">#REF!</definedName>
    <definedName name="________________Apr16">#REF!</definedName>
    <definedName name="________________Apr17" localSheetId="27">#REF!</definedName>
    <definedName name="________________Apr17">#REF!</definedName>
    <definedName name="________________Apr20" localSheetId="27">#REF!</definedName>
    <definedName name="________________Apr20">#REF!</definedName>
    <definedName name="________________Apr21" localSheetId="27">#REF!</definedName>
    <definedName name="________________Apr21">#REF!</definedName>
    <definedName name="________________Apr22" localSheetId="27">#REF!</definedName>
    <definedName name="________________Apr22">#REF!</definedName>
    <definedName name="________________Apr23" localSheetId="27">#REF!</definedName>
    <definedName name="________________Apr23">#REF!</definedName>
    <definedName name="________________Apr24" localSheetId="27">#REF!</definedName>
    <definedName name="________________Apr24">#REF!</definedName>
    <definedName name="________________Apr27" localSheetId="27">#REF!</definedName>
    <definedName name="________________Apr27">#REF!</definedName>
    <definedName name="________________Apr28" localSheetId="27">#REF!</definedName>
    <definedName name="________________Apr28">#REF!</definedName>
    <definedName name="________________Apr29" localSheetId="27">#REF!</definedName>
    <definedName name="________________Apr29">#REF!</definedName>
    <definedName name="________________Apr30" localSheetId="27">#REF!</definedName>
    <definedName name="________________Apr30">#REF!</definedName>
    <definedName name="_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BSD1" localSheetId="25">#REF!</definedName>
    <definedName name="________________BSD1">#REF!</definedName>
    <definedName name="________________BSD2" localSheetId="25">#REF!</definedName>
    <definedName name="________________BSD2">#REF!</definedName>
    <definedName name="________________IED1" localSheetId="25">#REF!</definedName>
    <definedName name="________________IED1">#REF!</definedName>
    <definedName name="________________IED2">#REF!</definedName>
    <definedName name="_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Mar06" localSheetId="25">#REF!</definedName>
    <definedName name="________________Mar06" localSheetId="27">#REF!</definedName>
    <definedName name="________________Mar06">#REF!</definedName>
    <definedName name="________________Mar09" localSheetId="25">#REF!</definedName>
    <definedName name="________________Mar09" localSheetId="27">#REF!</definedName>
    <definedName name="________________Mar09">#REF!</definedName>
    <definedName name="________________Mar10" localSheetId="25">#REF!</definedName>
    <definedName name="________________Mar10" localSheetId="27">#REF!</definedName>
    <definedName name="________________Mar10">#REF!</definedName>
    <definedName name="________________Mar11" localSheetId="27">#REF!</definedName>
    <definedName name="________________Mar11">#REF!</definedName>
    <definedName name="________________Mar12" localSheetId="27">#REF!</definedName>
    <definedName name="________________Mar12">#REF!</definedName>
    <definedName name="________________Mar13" localSheetId="27">#REF!</definedName>
    <definedName name="________________Mar13">#REF!</definedName>
    <definedName name="________________Mar16" localSheetId="27">#REF!</definedName>
    <definedName name="________________Mar16">#REF!</definedName>
    <definedName name="________________Mar17" localSheetId="27">#REF!</definedName>
    <definedName name="________________Mar17">#REF!</definedName>
    <definedName name="________________Mar18" localSheetId="27">#REF!</definedName>
    <definedName name="________________Mar18">#REF!</definedName>
    <definedName name="________________Mar19" localSheetId="27">#REF!</definedName>
    <definedName name="________________Mar19">#REF!</definedName>
    <definedName name="________________Mar20" localSheetId="27">#REF!</definedName>
    <definedName name="________________Mar20">#REF!</definedName>
    <definedName name="________________Mar23" localSheetId="27">#REF!</definedName>
    <definedName name="________________Mar23">#REF!</definedName>
    <definedName name="________________Mar24" localSheetId="27">#REF!</definedName>
    <definedName name="________________Mar24">#REF!</definedName>
    <definedName name="________________Mar25" localSheetId="27">#REF!</definedName>
    <definedName name="________________Mar25">#REF!</definedName>
    <definedName name="________________Mar26" localSheetId="27">#REF!</definedName>
    <definedName name="________________Mar26">#REF!</definedName>
    <definedName name="________________Mar27" localSheetId="27">#REF!</definedName>
    <definedName name="________________Mar27">#REF!</definedName>
    <definedName name="________________Mar28" localSheetId="27">#REF!</definedName>
    <definedName name="________________Mar28">#REF!</definedName>
    <definedName name="________________Mar30" localSheetId="27">#REF!</definedName>
    <definedName name="________________Mar30">#REF!</definedName>
    <definedName name="________________Mar31" localSheetId="27">#REF!</definedName>
    <definedName name="________________Mar31">#REF!</definedName>
    <definedName name="________________NCS111">#REF!</definedName>
    <definedName name="________________SCH6" localSheetId="15">#REF!</definedName>
    <definedName name="________________SCH6" localSheetId="35">#REF!</definedName>
    <definedName name="________________SCH6" localSheetId="25">#REF!</definedName>
    <definedName name="________________SCH6" localSheetId="27">#REF!</definedName>
    <definedName name="________________SCH6" localSheetId="56">#REF!</definedName>
    <definedName name="________________SCH6" localSheetId="57">#REF!</definedName>
    <definedName name="________________SCH6">#REF!</definedName>
    <definedName name="_______________a65565" localSheetId="25">#REF!</definedName>
    <definedName name="_______________a65565">#REF!</definedName>
    <definedName name="_______________Apr02" localSheetId="25">#REF!</definedName>
    <definedName name="_______________Apr02" localSheetId="27">#REF!</definedName>
    <definedName name="_______________Apr02">#REF!</definedName>
    <definedName name="_______________Apr03" localSheetId="25">#REF!</definedName>
    <definedName name="_______________Apr03" localSheetId="27">#REF!</definedName>
    <definedName name="_______________Apr03">#REF!</definedName>
    <definedName name="_______________Apr04" localSheetId="27">#REF!</definedName>
    <definedName name="_______________Apr04">#REF!</definedName>
    <definedName name="_______________Apr05" localSheetId="27">#REF!</definedName>
    <definedName name="_______________Apr05">#REF!</definedName>
    <definedName name="_______________Apr06" localSheetId="27">#REF!</definedName>
    <definedName name="_______________Apr06">#REF!</definedName>
    <definedName name="_______________Apr07" localSheetId="27">#REF!</definedName>
    <definedName name="_______________Apr07">#REF!</definedName>
    <definedName name="_______________Apr08" localSheetId="27">#REF!</definedName>
    <definedName name="_______________Apr08">#REF!</definedName>
    <definedName name="_______________Apr09" localSheetId="27">#REF!</definedName>
    <definedName name="_______________Apr09">#REF!</definedName>
    <definedName name="_______________Apr10" localSheetId="27">#REF!</definedName>
    <definedName name="_______________Apr10">#REF!</definedName>
    <definedName name="_______________Apr11" localSheetId="27">#REF!</definedName>
    <definedName name="_______________Apr11">#REF!</definedName>
    <definedName name="_______________Apr13" localSheetId="27">#REF!</definedName>
    <definedName name="_______________Apr13">#REF!</definedName>
    <definedName name="_______________Apr14" localSheetId="27">#REF!</definedName>
    <definedName name="_______________Apr14">#REF!</definedName>
    <definedName name="_______________Apr15" localSheetId="27">#REF!</definedName>
    <definedName name="_______________Apr15">#REF!</definedName>
    <definedName name="_______________Apr16" localSheetId="27">#REF!</definedName>
    <definedName name="_______________Apr16">#REF!</definedName>
    <definedName name="_______________Apr17" localSheetId="27">#REF!</definedName>
    <definedName name="_______________Apr17">#REF!</definedName>
    <definedName name="_______________Apr20" localSheetId="27">#REF!</definedName>
    <definedName name="_______________Apr20">#REF!</definedName>
    <definedName name="_______________Apr21" localSheetId="27">#REF!</definedName>
    <definedName name="_______________Apr21">#REF!</definedName>
    <definedName name="_______________Apr22" localSheetId="27">#REF!</definedName>
    <definedName name="_______________Apr22">#REF!</definedName>
    <definedName name="_______________Apr23" localSheetId="27">#REF!</definedName>
    <definedName name="_______________Apr23">#REF!</definedName>
    <definedName name="_______________Apr24" localSheetId="27">#REF!</definedName>
    <definedName name="_______________Apr24">#REF!</definedName>
    <definedName name="_______________Apr27" localSheetId="27">#REF!</definedName>
    <definedName name="_______________Apr27">#REF!</definedName>
    <definedName name="_______________Apr28" localSheetId="27">#REF!</definedName>
    <definedName name="_______________Apr28">#REF!</definedName>
    <definedName name="_______________Apr29" localSheetId="27">#REF!</definedName>
    <definedName name="_______________Apr29">#REF!</definedName>
    <definedName name="_______________Apr30" localSheetId="27">#REF!</definedName>
    <definedName name="_______________Apr30">#REF!</definedName>
    <definedName name="_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BSD1" localSheetId="25">#REF!</definedName>
    <definedName name="_______________BSD1" localSheetId="27">#REF!</definedName>
    <definedName name="_______________BSD1">#REF!</definedName>
    <definedName name="_______________BSD2" localSheetId="25">#REF!</definedName>
    <definedName name="_______________BSD2" localSheetId="27">#REF!</definedName>
    <definedName name="_______________BSD2">#REF!</definedName>
    <definedName name="_______________IED1" localSheetId="25">#REF!</definedName>
    <definedName name="_______________IED1" localSheetId="27">#REF!</definedName>
    <definedName name="_______________IED1">#REF!</definedName>
    <definedName name="_______________IED2" localSheetId="27">#REF!</definedName>
    <definedName name="_______________IED2">#REF!</definedName>
    <definedName name="_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Mar06" localSheetId="25">#REF!</definedName>
    <definedName name="_______________Mar06" localSheetId="27">#REF!</definedName>
    <definedName name="_______________Mar06">#REF!</definedName>
    <definedName name="_______________Mar09" localSheetId="25">#REF!</definedName>
    <definedName name="_______________Mar09" localSheetId="27">#REF!</definedName>
    <definedName name="_______________Mar09">#REF!</definedName>
    <definedName name="_______________Mar10" localSheetId="25">#REF!</definedName>
    <definedName name="_______________Mar10" localSheetId="27">#REF!</definedName>
    <definedName name="_______________Mar10">#REF!</definedName>
    <definedName name="_______________Mar11" localSheetId="27">#REF!</definedName>
    <definedName name="_______________Mar11">#REF!</definedName>
    <definedName name="_______________Mar12" localSheetId="27">#REF!</definedName>
    <definedName name="_______________Mar12">#REF!</definedName>
    <definedName name="_______________Mar13" localSheetId="27">#REF!</definedName>
    <definedName name="_______________Mar13">#REF!</definedName>
    <definedName name="_______________Mar16" localSheetId="27">#REF!</definedName>
    <definedName name="_______________Mar16">#REF!</definedName>
    <definedName name="_______________Mar17" localSheetId="27">#REF!</definedName>
    <definedName name="_______________Mar17">#REF!</definedName>
    <definedName name="_______________Mar18" localSheetId="27">#REF!</definedName>
    <definedName name="_______________Mar18">#REF!</definedName>
    <definedName name="_______________Mar19" localSheetId="27">#REF!</definedName>
    <definedName name="_______________Mar19">#REF!</definedName>
    <definedName name="_______________Mar20" localSheetId="27">#REF!</definedName>
    <definedName name="_______________Mar20">#REF!</definedName>
    <definedName name="_______________Mar23" localSheetId="27">#REF!</definedName>
    <definedName name="_______________Mar23">#REF!</definedName>
    <definedName name="_______________Mar24" localSheetId="27">#REF!</definedName>
    <definedName name="_______________Mar24">#REF!</definedName>
    <definedName name="_______________Mar25" localSheetId="27">#REF!</definedName>
    <definedName name="_______________Mar25">#REF!</definedName>
    <definedName name="_______________Mar26" localSheetId="27">#REF!</definedName>
    <definedName name="_______________Mar26">#REF!</definedName>
    <definedName name="_______________Mar27" localSheetId="27">#REF!</definedName>
    <definedName name="_______________Mar27">#REF!</definedName>
    <definedName name="_______________Mar28" localSheetId="27">#REF!</definedName>
    <definedName name="_______________Mar28">#REF!</definedName>
    <definedName name="_______________Mar30" localSheetId="27">#REF!</definedName>
    <definedName name="_______________Mar30">#REF!</definedName>
    <definedName name="_______________Mar31" localSheetId="27">#REF!</definedName>
    <definedName name="_______________Mar31">#REF!</definedName>
    <definedName name="_______________NCS111">#REF!</definedName>
    <definedName name="_______________SCH6" localSheetId="15">#REF!</definedName>
    <definedName name="_______________SCH6" localSheetId="35">#REF!</definedName>
    <definedName name="_______________SCH6" localSheetId="25">#REF!</definedName>
    <definedName name="_______________SCH6" localSheetId="27">#REF!</definedName>
    <definedName name="_______________SCH6" localSheetId="56">#REF!</definedName>
    <definedName name="_______________SCH6" localSheetId="57">#REF!</definedName>
    <definedName name="_______________SCH6">#REF!</definedName>
    <definedName name="______________a65565" localSheetId="25">#REF!</definedName>
    <definedName name="______________a65565">#REF!</definedName>
    <definedName name="_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BSD1" localSheetId="25">#REF!</definedName>
    <definedName name="______________BSD1" localSheetId="27">#REF!</definedName>
    <definedName name="______________BSD1">#REF!</definedName>
    <definedName name="______________BSD2" localSheetId="25">#REF!</definedName>
    <definedName name="______________BSD2" localSheetId="27">#REF!</definedName>
    <definedName name="______________BSD2">#REF!</definedName>
    <definedName name="______________IED1" localSheetId="25">#REF!</definedName>
    <definedName name="______________IED1" localSheetId="27">#REF!</definedName>
    <definedName name="______________IED1">#REF!</definedName>
    <definedName name="______________IED2" localSheetId="27">#REF!</definedName>
    <definedName name="______________IED2">#REF!</definedName>
    <definedName name="_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NCS111" localSheetId="25">#REF!</definedName>
    <definedName name="______________NCS111">#REF!</definedName>
    <definedName name="______________SCH6" localSheetId="15">#REF!</definedName>
    <definedName name="______________SCH6" localSheetId="35">#REF!</definedName>
    <definedName name="______________SCH6" localSheetId="25">#REF!</definedName>
    <definedName name="______________SCH6" localSheetId="27">#REF!</definedName>
    <definedName name="______________SCH6" localSheetId="56">#REF!</definedName>
    <definedName name="______________SCH6" localSheetId="57">#REF!</definedName>
    <definedName name="______________SCH6">#REF!</definedName>
    <definedName name="_____________a65565" localSheetId="25">#REF!</definedName>
    <definedName name="_____________a65565">#REF!</definedName>
    <definedName name="_____________Apr02" localSheetId="25">#REF!</definedName>
    <definedName name="_____________Apr02" localSheetId="27">#REF!</definedName>
    <definedName name="_____________Apr02">#REF!</definedName>
    <definedName name="_____________Apr03" localSheetId="25">#REF!</definedName>
    <definedName name="_____________Apr03" localSheetId="27">#REF!</definedName>
    <definedName name="_____________Apr03">#REF!</definedName>
    <definedName name="_____________Apr04" localSheetId="27">#REF!</definedName>
    <definedName name="_____________Apr04">#REF!</definedName>
    <definedName name="_____________Apr05" localSheetId="27">#REF!</definedName>
    <definedName name="_____________Apr05">#REF!</definedName>
    <definedName name="_____________Apr06" localSheetId="27">#REF!</definedName>
    <definedName name="_____________Apr06">#REF!</definedName>
    <definedName name="_____________Apr07" localSheetId="27">#REF!</definedName>
    <definedName name="_____________Apr07">#REF!</definedName>
    <definedName name="_____________Apr08" localSheetId="27">#REF!</definedName>
    <definedName name="_____________Apr08">#REF!</definedName>
    <definedName name="_____________Apr09" localSheetId="27">#REF!</definedName>
    <definedName name="_____________Apr09">#REF!</definedName>
    <definedName name="_____________Apr10" localSheetId="27">#REF!</definedName>
    <definedName name="_____________Apr10">#REF!</definedName>
    <definedName name="_____________Apr11" localSheetId="27">#REF!</definedName>
    <definedName name="_____________Apr11">#REF!</definedName>
    <definedName name="_____________Apr13" localSheetId="27">#REF!</definedName>
    <definedName name="_____________Apr13">#REF!</definedName>
    <definedName name="_____________Apr14" localSheetId="27">#REF!</definedName>
    <definedName name="_____________Apr14">#REF!</definedName>
    <definedName name="_____________Apr15" localSheetId="27">#REF!</definedName>
    <definedName name="_____________Apr15">#REF!</definedName>
    <definedName name="_____________Apr16" localSheetId="27">#REF!</definedName>
    <definedName name="_____________Apr16">#REF!</definedName>
    <definedName name="_____________Apr17" localSheetId="27">#REF!</definedName>
    <definedName name="_____________Apr17">#REF!</definedName>
    <definedName name="_____________Apr20" localSheetId="27">#REF!</definedName>
    <definedName name="_____________Apr20">#REF!</definedName>
    <definedName name="_____________Apr21" localSheetId="27">#REF!</definedName>
    <definedName name="_____________Apr21">#REF!</definedName>
    <definedName name="_____________Apr22" localSheetId="27">#REF!</definedName>
    <definedName name="_____________Apr22">#REF!</definedName>
    <definedName name="_____________Apr23" localSheetId="27">#REF!</definedName>
    <definedName name="_____________Apr23">#REF!</definedName>
    <definedName name="_____________Apr24" localSheetId="27">#REF!</definedName>
    <definedName name="_____________Apr24">#REF!</definedName>
    <definedName name="_____________Apr27" localSheetId="27">#REF!</definedName>
    <definedName name="_____________Apr27">#REF!</definedName>
    <definedName name="_____________Apr28" localSheetId="27">#REF!</definedName>
    <definedName name="_____________Apr28">#REF!</definedName>
    <definedName name="_____________Apr29" localSheetId="27">#REF!</definedName>
    <definedName name="_____________Apr29">#REF!</definedName>
    <definedName name="_____________Apr30" localSheetId="27">#REF!</definedName>
    <definedName name="_____________Apr30">#REF!</definedName>
    <definedName name="_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BSD1" localSheetId="25">#REF!</definedName>
    <definedName name="_____________BSD1" localSheetId="27">#REF!</definedName>
    <definedName name="_____________BSD1">#REF!</definedName>
    <definedName name="_____________BSD2" localSheetId="25">#REF!</definedName>
    <definedName name="_____________BSD2" localSheetId="27">#REF!</definedName>
    <definedName name="_____________BSD2">#REF!</definedName>
    <definedName name="_____________IED1" localSheetId="25">#REF!</definedName>
    <definedName name="_____________IED1" localSheetId="27">#REF!</definedName>
    <definedName name="_____________IED1">#REF!</definedName>
    <definedName name="_____________IED2" localSheetId="27">#REF!</definedName>
    <definedName name="_____________IED2">#REF!</definedName>
    <definedName name="_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Mar06" localSheetId="25">#REF!</definedName>
    <definedName name="_____________Mar06" localSheetId="27">#REF!</definedName>
    <definedName name="_____________Mar06">#REF!</definedName>
    <definedName name="_____________Mar09" localSheetId="25">#REF!</definedName>
    <definedName name="_____________Mar09" localSheetId="27">#REF!</definedName>
    <definedName name="_____________Mar09">#REF!</definedName>
    <definedName name="_____________Mar10" localSheetId="25">#REF!</definedName>
    <definedName name="_____________Mar10" localSheetId="27">#REF!</definedName>
    <definedName name="_____________Mar10">#REF!</definedName>
    <definedName name="_____________Mar11" localSheetId="27">#REF!</definedName>
    <definedName name="_____________Mar11">#REF!</definedName>
    <definedName name="_____________Mar12" localSheetId="27">#REF!</definedName>
    <definedName name="_____________Mar12">#REF!</definedName>
    <definedName name="_____________Mar13" localSheetId="27">#REF!</definedName>
    <definedName name="_____________Mar13">#REF!</definedName>
    <definedName name="_____________Mar16" localSheetId="27">#REF!</definedName>
    <definedName name="_____________Mar16">#REF!</definedName>
    <definedName name="_____________Mar17" localSheetId="27">#REF!</definedName>
    <definedName name="_____________Mar17">#REF!</definedName>
    <definedName name="_____________Mar18" localSheetId="27">#REF!</definedName>
    <definedName name="_____________Mar18">#REF!</definedName>
    <definedName name="_____________Mar19" localSheetId="27">#REF!</definedName>
    <definedName name="_____________Mar19">#REF!</definedName>
    <definedName name="_____________Mar20" localSheetId="27">#REF!</definedName>
    <definedName name="_____________Mar20">#REF!</definedName>
    <definedName name="_____________Mar23" localSheetId="27">#REF!</definedName>
    <definedName name="_____________Mar23">#REF!</definedName>
    <definedName name="_____________Mar24" localSheetId="27">#REF!</definedName>
    <definedName name="_____________Mar24">#REF!</definedName>
    <definedName name="_____________Mar25" localSheetId="27">#REF!</definedName>
    <definedName name="_____________Mar25">#REF!</definedName>
    <definedName name="_____________Mar26" localSheetId="27">#REF!</definedName>
    <definedName name="_____________Mar26">#REF!</definedName>
    <definedName name="_____________Mar27" localSheetId="27">#REF!</definedName>
    <definedName name="_____________Mar27">#REF!</definedName>
    <definedName name="_____________Mar28" localSheetId="27">#REF!</definedName>
    <definedName name="_____________Mar28">#REF!</definedName>
    <definedName name="_____________Mar30" localSheetId="27">#REF!</definedName>
    <definedName name="_____________Mar30">#REF!</definedName>
    <definedName name="_____________Mar31" localSheetId="27">#REF!</definedName>
    <definedName name="_____________Mar31">#REF!</definedName>
    <definedName name="_____________NCS111">#REF!</definedName>
    <definedName name="_____________SCH6" localSheetId="15">#REF!</definedName>
    <definedName name="_____________SCH6" localSheetId="35">#REF!</definedName>
    <definedName name="_____________SCH6" localSheetId="25">#REF!</definedName>
    <definedName name="_____________SCH6" localSheetId="27">#REF!</definedName>
    <definedName name="_____________SCH6" localSheetId="56">#REF!</definedName>
    <definedName name="_____________SCH6" localSheetId="57">#REF!</definedName>
    <definedName name="_____________SCH6">#REF!</definedName>
    <definedName name="____________a65565" localSheetId="25">#REF!</definedName>
    <definedName name="____________a65565">#REF!</definedName>
    <definedName name="_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BSD1" localSheetId="25">#REF!</definedName>
    <definedName name="____________BSD1" localSheetId="27">#REF!</definedName>
    <definedName name="____________BSD1">#REF!</definedName>
    <definedName name="____________BSD2" localSheetId="25">#REF!</definedName>
    <definedName name="____________BSD2" localSheetId="27">#REF!</definedName>
    <definedName name="____________BSD2">#REF!</definedName>
    <definedName name="____________IED1" localSheetId="25">#REF!</definedName>
    <definedName name="____________IED1" localSheetId="27">#REF!</definedName>
    <definedName name="____________IED1">#REF!</definedName>
    <definedName name="____________IED2" localSheetId="27">#REF!</definedName>
    <definedName name="____________IED2">#REF!</definedName>
    <definedName name="_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NCS111" localSheetId="25">#REF!</definedName>
    <definedName name="____________NCS111">#REF!</definedName>
    <definedName name="____________SCH6" localSheetId="15">#REF!</definedName>
    <definedName name="____________SCH6" localSheetId="35">#REF!</definedName>
    <definedName name="____________SCH6" localSheetId="25">#REF!</definedName>
    <definedName name="____________SCH6" localSheetId="27">#REF!</definedName>
    <definedName name="____________SCH6" localSheetId="56">#REF!</definedName>
    <definedName name="____________SCH6" localSheetId="57">#REF!</definedName>
    <definedName name="____________SCH6">#REF!</definedName>
    <definedName name="___________a65565" localSheetId="25">#REF!</definedName>
    <definedName name="___________a65565">#REF!</definedName>
    <definedName name="_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BSD1" localSheetId="25">#REF!</definedName>
    <definedName name="___________BSD1" localSheetId="27">#REF!</definedName>
    <definedName name="___________BSD1">#REF!</definedName>
    <definedName name="___________BSD2" localSheetId="25">#REF!</definedName>
    <definedName name="___________BSD2" localSheetId="27">#REF!</definedName>
    <definedName name="___________BSD2">#REF!</definedName>
    <definedName name="___________IED1" localSheetId="25">#REF!</definedName>
    <definedName name="___________IED1" localSheetId="27">#REF!</definedName>
    <definedName name="___________IED1">#REF!</definedName>
    <definedName name="___________IED2" localSheetId="27">#REF!</definedName>
    <definedName name="___________IED2">#REF!</definedName>
    <definedName name="_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NCS111" localSheetId="25">#REF!</definedName>
    <definedName name="___________NCS111">#REF!</definedName>
    <definedName name="___________PH1">#N/A</definedName>
    <definedName name="___________SCH6" localSheetId="15">#REF!</definedName>
    <definedName name="___________SCH6" localSheetId="35">#REF!</definedName>
    <definedName name="___________SCH6" localSheetId="25">#REF!</definedName>
    <definedName name="___________SCH6" localSheetId="27">#REF!</definedName>
    <definedName name="___________SCH6" localSheetId="56">#REF!</definedName>
    <definedName name="___________SCH6" localSheetId="57">#REF!</definedName>
    <definedName name="___________SCH6">#REF!</definedName>
    <definedName name="__________a65565" localSheetId="25">#REF!</definedName>
    <definedName name="__________a65565">#REF!</definedName>
    <definedName name="_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BSD1" localSheetId="25">#REF!</definedName>
    <definedName name="__________BSD1" localSheetId="27">#REF!</definedName>
    <definedName name="__________BSD1">#REF!</definedName>
    <definedName name="__________BSD2" localSheetId="25">#REF!</definedName>
    <definedName name="__________BSD2" localSheetId="27">#REF!</definedName>
    <definedName name="__________BSD2">#REF!</definedName>
    <definedName name="__________IED1" localSheetId="25">#REF!</definedName>
    <definedName name="__________IED1" localSheetId="27">#REF!</definedName>
    <definedName name="__________IED1">#REF!</definedName>
    <definedName name="__________IED2" localSheetId="27">#REF!</definedName>
    <definedName name="__________IED2">#REF!</definedName>
    <definedName name="_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NCS111" localSheetId="25">#REF!</definedName>
    <definedName name="__________NCS111">#REF!</definedName>
    <definedName name="__________PH1">#N/A</definedName>
    <definedName name="__________SCH6" localSheetId="15">#REF!</definedName>
    <definedName name="__________SCH6" localSheetId="35">#REF!</definedName>
    <definedName name="__________SCH6" localSheetId="25">#REF!</definedName>
    <definedName name="__________SCH6" localSheetId="27">#REF!</definedName>
    <definedName name="__________SCH6" localSheetId="56">#REF!</definedName>
    <definedName name="__________SCH6" localSheetId="57">#REF!</definedName>
    <definedName name="__________SCH6">#REF!</definedName>
    <definedName name="_________a65565" localSheetId="25">#REF!</definedName>
    <definedName name="_________a65565">#REF!</definedName>
    <definedName name="_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BSD1" localSheetId="29">#REF!</definedName>
    <definedName name="_________BSD1" localSheetId="35">#REF!</definedName>
    <definedName name="_________BSD1" localSheetId="23">#REF!</definedName>
    <definedName name="_________BSD1" localSheetId="25">#REF!</definedName>
    <definedName name="_________BSD1" localSheetId="27">#REF!</definedName>
    <definedName name="_________BSD1">#REF!</definedName>
    <definedName name="_________BSD2" localSheetId="29">#REF!</definedName>
    <definedName name="_________BSD2" localSheetId="23">#REF!</definedName>
    <definedName name="_________BSD2" localSheetId="25">#REF!</definedName>
    <definedName name="_________BSD2" localSheetId="27">#REF!</definedName>
    <definedName name="_________BSD2">#REF!</definedName>
    <definedName name="_________IED1" localSheetId="29">#REF!</definedName>
    <definedName name="_________IED1" localSheetId="23">#REF!</definedName>
    <definedName name="_________IED1" localSheetId="25">#REF!</definedName>
    <definedName name="_________IED1" localSheetId="27">#REF!</definedName>
    <definedName name="_________IED1">#REF!</definedName>
    <definedName name="_________IED2" localSheetId="27">#REF!</definedName>
    <definedName name="_________IED2">#REF!</definedName>
    <definedName name="_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NCS111" localSheetId="25">#REF!</definedName>
    <definedName name="_________NCS111">#REF!</definedName>
    <definedName name="_________PH1">#N/A</definedName>
    <definedName name="_________SCH6" localSheetId="15">#REF!</definedName>
    <definedName name="_________SCH6" localSheetId="35">#REF!</definedName>
    <definedName name="_________SCH6" localSheetId="25">#REF!</definedName>
    <definedName name="_________SCH6" localSheetId="27">#REF!</definedName>
    <definedName name="_________SCH6" localSheetId="56">#REF!</definedName>
    <definedName name="_________SCH6" localSheetId="57">#REF!</definedName>
    <definedName name="_________SCH6">#REF!</definedName>
    <definedName name="________a65565" localSheetId="25">#REF!</definedName>
    <definedName name="________a65565">#REF!</definedName>
    <definedName name="________Apr02" localSheetId="25">#REF!</definedName>
    <definedName name="________Apr02" localSheetId="27">#REF!</definedName>
    <definedName name="________Apr02">#REF!</definedName>
    <definedName name="________Apr03" localSheetId="25">#REF!</definedName>
    <definedName name="________Apr03" localSheetId="27">#REF!</definedName>
    <definedName name="________Apr03">#REF!</definedName>
    <definedName name="________Apr04" localSheetId="27">#REF!</definedName>
    <definedName name="________Apr04">#REF!</definedName>
    <definedName name="________Apr05" localSheetId="27">#REF!</definedName>
    <definedName name="________Apr05">#REF!</definedName>
    <definedName name="________Apr06" localSheetId="27">#REF!</definedName>
    <definedName name="________Apr06">#REF!</definedName>
    <definedName name="________Apr07" localSheetId="27">#REF!</definedName>
    <definedName name="________Apr07">#REF!</definedName>
    <definedName name="________Apr08" localSheetId="27">#REF!</definedName>
    <definedName name="________Apr08">#REF!</definedName>
    <definedName name="________Apr09" localSheetId="27">#REF!</definedName>
    <definedName name="________Apr09">#REF!</definedName>
    <definedName name="________Apr10" localSheetId="27">#REF!</definedName>
    <definedName name="________Apr10">#REF!</definedName>
    <definedName name="________Apr11" localSheetId="27">#REF!</definedName>
    <definedName name="________Apr11">#REF!</definedName>
    <definedName name="________Apr13" localSheetId="27">#REF!</definedName>
    <definedName name="________Apr13">#REF!</definedName>
    <definedName name="________Apr14" localSheetId="27">#REF!</definedName>
    <definedName name="________Apr14">#REF!</definedName>
    <definedName name="________Apr15" localSheetId="27">#REF!</definedName>
    <definedName name="________Apr15">#REF!</definedName>
    <definedName name="________Apr16" localSheetId="27">#REF!</definedName>
    <definedName name="________Apr16">#REF!</definedName>
    <definedName name="________Apr17" localSheetId="27">#REF!</definedName>
    <definedName name="________Apr17">#REF!</definedName>
    <definedName name="________Apr20" localSheetId="27">#REF!</definedName>
    <definedName name="________Apr20">#REF!</definedName>
    <definedName name="________Apr21" localSheetId="27">#REF!</definedName>
    <definedName name="________Apr21">#REF!</definedName>
    <definedName name="________Apr22" localSheetId="27">#REF!</definedName>
    <definedName name="________Apr22">#REF!</definedName>
    <definedName name="________Apr23" localSheetId="27">#REF!</definedName>
    <definedName name="________Apr23">#REF!</definedName>
    <definedName name="________Apr24" localSheetId="27">#REF!</definedName>
    <definedName name="________Apr24">#REF!</definedName>
    <definedName name="________Apr27" localSheetId="27">#REF!</definedName>
    <definedName name="________Apr27">#REF!</definedName>
    <definedName name="________Apr28" localSheetId="27">#REF!</definedName>
    <definedName name="________Apr28">#REF!</definedName>
    <definedName name="________Apr29" localSheetId="27">#REF!</definedName>
    <definedName name="________Apr29">#REF!</definedName>
    <definedName name="________Apr30" localSheetId="27">#REF!</definedName>
    <definedName name="________Apr30">#REF!</definedName>
    <definedName name="_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BSD1" localSheetId="29">#REF!</definedName>
    <definedName name="________BSD1" localSheetId="35">#REF!</definedName>
    <definedName name="________BSD1" localSheetId="23">#REF!</definedName>
    <definedName name="________BSD1" localSheetId="25">#REF!</definedName>
    <definedName name="________BSD1" localSheetId="27">#REF!</definedName>
    <definedName name="________BSD1">#REF!</definedName>
    <definedName name="________BSD2" localSheetId="29">#REF!</definedName>
    <definedName name="________BSD2" localSheetId="23">#REF!</definedName>
    <definedName name="________BSD2" localSheetId="25">#REF!</definedName>
    <definedName name="________BSD2" localSheetId="27">#REF!</definedName>
    <definedName name="________BSD2">#REF!</definedName>
    <definedName name="________FC1" localSheetId="25">#REF!</definedName>
    <definedName name="________FC1" localSheetId="27">#REF!</definedName>
    <definedName name="________FC1">#REF!</definedName>
    <definedName name="________IED1" localSheetId="29">#REF!</definedName>
    <definedName name="________IED1" localSheetId="35">#REF!</definedName>
    <definedName name="________IED1" localSheetId="23">#REF!</definedName>
    <definedName name="________IED1" localSheetId="25">#REF!</definedName>
    <definedName name="________IED1" localSheetId="27">#REF!</definedName>
    <definedName name="________IED1" localSheetId="57">#REF!</definedName>
    <definedName name="________IED1">#REF!</definedName>
    <definedName name="________IED2" localSheetId="29">#REF!</definedName>
    <definedName name="________IED2" localSheetId="23">#REF!</definedName>
    <definedName name="________IED2" localSheetId="25">#REF!</definedName>
    <definedName name="________IED2" localSheetId="27">#REF!</definedName>
    <definedName name="________IED2">#REF!</definedName>
    <definedName name="_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Mar06" localSheetId="25">#REF!</definedName>
    <definedName name="________Mar06" localSheetId="27">#REF!</definedName>
    <definedName name="________Mar06">#REF!</definedName>
    <definedName name="________Mar09" localSheetId="25">#REF!</definedName>
    <definedName name="________Mar09" localSheetId="27">#REF!</definedName>
    <definedName name="________Mar09">#REF!</definedName>
    <definedName name="________Mar10" localSheetId="25">#REF!</definedName>
    <definedName name="________Mar10" localSheetId="27">#REF!</definedName>
    <definedName name="________Mar10">#REF!</definedName>
    <definedName name="________Mar11" localSheetId="27">#REF!</definedName>
    <definedName name="________Mar11">#REF!</definedName>
    <definedName name="________Mar12" localSheetId="27">#REF!</definedName>
    <definedName name="________Mar12">#REF!</definedName>
    <definedName name="________Mar13" localSheetId="27">#REF!</definedName>
    <definedName name="________Mar13">#REF!</definedName>
    <definedName name="________Mar16" localSheetId="27">#REF!</definedName>
    <definedName name="________Mar16">#REF!</definedName>
    <definedName name="________Mar17" localSheetId="27">#REF!</definedName>
    <definedName name="________Mar17">#REF!</definedName>
    <definedName name="________Mar18" localSheetId="27">#REF!</definedName>
    <definedName name="________Mar18">#REF!</definedName>
    <definedName name="________Mar19" localSheetId="27">#REF!</definedName>
    <definedName name="________Mar19">#REF!</definedName>
    <definedName name="________Mar20" localSheetId="27">#REF!</definedName>
    <definedName name="________Mar20">#REF!</definedName>
    <definedName name="________Mar23" localSheetId="27">#REF!</definedName>
    <definedName name="________Mar23">#REF!</definedName>
    <definedName name="________Mar24" localSheetId="27">#REF!</definedName>
    <definedName name="________Mar24">#REF!</definedName>
    <definedName name="________Mar25" localSheetId="27">#REF!</definedName>
    <definedName name="________Mar25">#REF!</definedName>
    <definedName name="________Mar26" localSheetId="27">#REF!</definedName>
    <definedName name="________Mar26">#REF!</definedName>
    <definedName name="________Mar27" localSheetId="27">#REF!</definedName>
    <definedName name="________Mar27">#REF!</definedName>
    <definedName name="________Mar28" localSheetId="27">#REF!</definedName>
    <definedName name="________Mar28">#REF!</definedName>
    <definedName name="________Mar30" localSheetId="27">#REF!</definedName>
    <definedName name="________Mar30">#REF!</definedName>
    <definedName name="________Mar31" localSheetId="27">#REF!</definedName>
    <definedName name="________Mar31">#REF!</definedName>
    <definedName name="________NCS111">#REF!</definedName>
    <definedName name="________PH1">#N/A</definedName>
    <definedName name="________SCH6" localSheetId="15">#REF!</definedName>
    <definedName name="________SCH6" localSheetId="29">#REF!</definedName>
    <definedName name="________SCH6" localSheetId="35">#REF!</definedName>
    <definedName name="________SCH6" localSheetId="23">#REF!</definedName>
    <definedName name="________SCH6" localSheetId="25">#REF!</definedName>
    <definedName name="________SCH6" localSheetId="27">#REF!</definedName>
    <definedName name="________SCH6" localSheetId="56">#REF!</definedName>
    <definedName name="________SCH6" localSheetId="57">#REF!</definedName>
    <definedName name="________SCH6">#REF!</definedName>
    <definedName name="_______a65565" localSheetId="29">#REF!</definedName>
    <definedName name="_______a65565" localSheetId="35">#REF!</definedName>
    <definedName name="_______a65565" localSheetId="23">#REF!</definedName>
    <definedName name="_______a65565" localSheetId="25">#REF!</definedName>
    <definedName name="_______a65565" localSheetId="27">#REF!</definedName>
    <definedName name="_______a65565">#REF!</definedName>
    <definedName name="_______arr2" localSheetId="2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3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2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2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5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BS1" localSheetId="25">#REF!</definedName>
    <definedName name="_______BS1">#REF!</definedName>
    <definedName name="_______bs2" localSheetId="25">#REF!</definedName>
    <definedName name="_______bs2">#REF!</definedName>
    <definedName name="_______BSD1" localSheetId="29">#REF!</definedName>
    <definedName name="_______BSD1" localSheetId="35">#REF!</definedName>
    <definedName name="_______BSD1" localSheetId="23">#REF!</definedName>
    <definedName name="_______BSD1" localSheetId="25">#REF!</definedName>
    <definedName name="_______BSD1" localSheetId="27">#REF!</definedName>
    <definedName name="_______BSD1">#REF!</definedName>
    <definedName name="_______BSD2" localSheetId="29">#REF!</definedName>
    <definedName name="_______BSD2" localSheetId="23">#REF!</definedName>
    <definedName name="_______BSD2" localSheetId="25">#REF!</definedName>
    <definedName name="_______BSD2" localSheetId="27">#REF!</definedName>
    <definedName name="_______BSD2">#REF!</definedName>
    <definedName name="_______FC1" localSheetId="25">#REF!</definedName>
    <definedName name="_______FC1" localSheetId="27">#REF!</definedName>
    <definedName name="_______FC1">#REF!</definedName>
    <definedName name="_______IED1" localSheetId="29">#REF!</definedName>
    <definedName name="_______IED1" localSheetId="35">#REF!</definedName>
    <definedName name="_______IED1" localSheetId="23">#REF!</definedName>
    <definedName name="_______IED1" localSheetId="25">#REF!</definedName>
    <definedName name="_______IED1" localSheetId="27">#REF!</definedName>
    <definedName name="_______IED1" localSheetId="57">#REF!</definedName>
    <definedName name="_______IED1">#REF!</definedName>
    <definedName name="_______IED2" localSheetId="29">#REF!</definedName>
    <definedName name="_______IED2" localSheetId="23">#REF!</definedName>
    <definedName name="_______IED2" localSheetId="25">#REF!</definedName>
    <definedName name="_______IED2" localSheetId="27">#REF!</definedName>
    <definedName name="_______IED2">#REF!</definedName>
    <definedName name="_______int06" localSheetId="2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3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2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2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5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NCS111" localSheetId="25">#REF!</definedName>
    <definedName name="_______NCS111" localSheetId="27">#REF!</definedName>
    <definedName name="_______NCS111">#REF!</definedName>
    <definedName name="_______PH1">#N/A</definedName>
    <definedName name="_______PL1" localSheetId="25">#REF!</definedName>
    <definedName name="_______PL1">#REF!</definedName>
    <definedName name="_______SCH1" localSheetId="25">#REF!</definedName>
    <definedName name="_______SCH1">#REF!</definedName>
    <definedName name="_______SCH10" localSheetId="25">#REF!</definedName>
    <definedName name="_______SCH10">#REF!</definedName>
    <definedName name="_______SCH11">#REF!</definedName>
    <definedName name="_______SCH12">#REF!</definedName>
    <definedName name="_______sch13">#REF!</definedName>
    <definedName name="_______SCH2">#REF!</definedName>
    <definedName name="_______SCH3">#REF!</definedName>
    <definedName name="_______SCH4">#REF!</definedName>
    <definedName name="_______SCH5">#REF!</definedName>
    <definedName name="_______SCH6" localSheetId="15">#REF!</definedName>
    <definedName name="_______SCH6" localSheetId="35">#REF!</definedName>
    <definedName name="_______SCH6" localSheetId="25">#REF!</definedName>
    <definedName name="_______SCH6" localSheetId="27">#REF!</definedName>
    <definedName name="_______SCH6" localSheetId="56">#REF!</definedName>
    <definedName name="_______SCH6" localSheetId="57">#REF!</definedName>
    <definedName name="_______SCH6">#REF!</definedName>
    <definedName name="_______SCH7" localSheetId="25">#REF!</definedName>
    <definedName name="_______SCH7">#REF!</definedName>
    <definedName name="_______SCH8" localSheetId="25">#REF!</definedName>
    <definedName name="_______SCH8">#REF!</definedName>
    <definedName name="_______SCH9" localSheetId="25">#REF!</definedName>
    <definedName name="_______SCH9">#REF!</definedName>
    <definedName name="______a65565" localSheetId="29">#REF!</definedName>
    <definedName name="______a65565" localSheetId="35">#REF!</definedName>
    <definedName name="______a65565" localSheetId="23">#REF!</definedName>
    <definedName name="______a65565" localSheetId="25">#REF!</definedName>
    <definedName name="______a65565" localSheetId="27">#REF!</definedName>
    <definedName name="______a65565">#REF!</definedName>
    <definedName name="______Apr02" localSheetId="27">#REF!</definedName>
    <definedName name="______Apr02">#REF!</definedName>
    <definedName name="______Apr03" localSheetId="27">#REF!</definedName>
    <definedName name="______Apr03">#REF!</definedName>
    <definedName name="______Apr04" localSheetId="27">#REF!</definedName>
    <definedName name="______Apr04">#REF!</definedName>
    <definedName name="______Apr05" localSheetId="27">#REF!</definedName>
    <definedName name="______Apr05">#REF!</definedName>
    <definedName name="______Apr06" localSheetId="27">#REF!</definedName>
    <definedName name="______Apr06">#REF!</definedName>
    <definedName name="______Apr07" localSheetId="27">#REF!</definedName>
    <definedName name="______Apr07">#REF!</definedName>
    <definedName name="______Apr08" localSheetId="27">#REF!</definedName>
    <definedName name="______Apr08">#REF!</definedName>
    <definedName name="______Apr09" localSheetId="27">#REF!</definedName>
    <definedName name="______Apr09">#REF!</definedName>
    <definedName name="______Apr10" localSheetId="27">#REF!</definedName>
    <definedName name="______Apr10">#REF!</definedName>
    <definedName name="______Apr11" localSheetId="27">#REF!</definedName>
    <definedName name="______Apr11">#REF!</definedName>
    <definedName name="______Apr13" localSheetId="27">#REF!</definedName>
    <definedName name="______Apr13">#REF!</definedName>
    <definedName name="______Apr14" localSheetId="27">#REF!</definedName>
    <definedName name="______Apr14">#REF!</definedName>
    <definedName name="______Apr15" localSheetId="27">#REF!</definedName>
    <definedName name="______Apr15">#REF!</definedName>
    <definedName name="______Apr16" localSheetId="27">#REF!</definedName>
    <definedName name="______Apr16">#REF!</definedName>
    <definedName name="______Apr17" localSheetId="27">#REF!</definedName>
    <definedName name="______Apr17">#REF!</definedName>
    <definedName name="______Apr20" localSheetId="27">#REF!</definedName>
    <definedName name="______Apr20">#REF!</definedName>
    <definedName name="______Apr21" localSheetId="27">#REF!</definedName>
    <definedName name="______Apr21">#REF!</definedName>
    <definedName name="______Apr22" localSheetId="27">#REF!</definedName>
    <definedName name="______Apr22">#REF!</definedName>
    <definedName name="______Apr23" localSheetId="27">#REF!</definedName>
    <definedName name="______Apr23">#REF!</definedName>
    <definedName name="______Apr24" localSheetId="27">#REF!</definedName>
    <definedName name="______Apr24">#REF!</definedName>
    <definedName name="______Apr27" localSheetId="27">#REF!</definedName>
    <definedName name="______Apr27">#REF!</definedName>
    <definedName name="______Apr28" localSheetId="27">#REF!</definedName>
    <definedName name="______Apr28">#REF!</definedName>
    <definedName name="______Apr29" localSheetId="27">#REF!</definedName>
    <definedName name="______Apr29">#REF!</definedName>
    <definedName name="______Apr30" localSheetId="27">#REF!</definedName>
    <definedName name="______Apr30">#REF!</definedName>
    <definedName name="______arr2" localSheetId="2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3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2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2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5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BS1" localSheetId="25">#REF!</definedName>
    <definedName name="______BS1">#REF!</definedName>
    <definedName name="______bs2" localSheetId="25">#REF!</definedName>
    <definedName name="______bs2">#REF!</definedName>
    <definedName name="______BSD1" localSheetId="29">#REF!</definedName>
    <definedName name="______BSD1" localSheetId="35">#REF!</definedName>
    <definedName name="______BSD1" localSheetId="23">#REF!</definedName>
    <definedName name="______BSD1" localSheetId="25">#REF!</definedName>
    <definedName name="______BSD1" localSheetId="27">#REF!</definedName>
    <definedName name="______BSD1">#REF!</definedName>
    <definedName name="______BSD2" localSheetId="29">#REF!</definedName>
    <definedName name="______BSD2" localSheetId="23">#REF!</definedName>
    <definedName name="______BSD2" localSheetId="25">#REF!</definedName>
    <definedName name="______BSD2" localSheetId="27">#REF!</definedName>
    <definedName name="______BSD2">#REF!</definedName>
    <definedName name="______FC1" localSheetId="15">#REF!</definedName>
    <definedName name="______FC1" localSheetId="25">#REF!</definedName>
    <definedName name="______FC1" localSheetId="27">#REF!</definedName>
    <definedName name="______FC1" localSheetId="56">#REF!</definedName>
    <definedName name="______FC1" localSheetId="57">#REF!</definedName>
    <definedName name="______FC1">#REF!</definedName>
    <definedName name="______IED1" localSheetId="29">#REF!</definedName>
    <definedName name="______IED1" localSheetId="35">#REF!</definedName>
    <definedName name="______IED1" localSheetId="23">#REF!</definedName>
    <definedName name="______IED1" localSheetId="25">#REF!</definedName>
    <definedName name="______IED1" localSheetId="27">#REF!</definedName>
    <definedName name="______IED1" localSheetId="57">#REF!</definedName>
    <definedName name="______IED1">#REF!</definedName>
    <definedName name="______IED2" localSheetId="29">#REF!</definedName>
    <definedName name="______IED2" localSheetId="23">#REF!</definedName>
    <definedName name="______IED2" localSheetId="25">#REF!</definedName>
    <definedName name="______IED2" localSheetId="27">#REF!</definedName>
    <definedName name="______IED2">#REF!</definedName>
    <definedName name="______int06" localSheetId="2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3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2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2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5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LD1" localSheetId="25">#REF!</definedName>
    <definedName name="______LD1" localSheetId="27">#REF!</definedName>
    <definedName name="______LD1">#REF!</definedName>
    <definedName name="______LD2" localSheetId="25">#REF!</definedName>
    <definedName name="______LD2" localSheetId="27">#REF!</definedName>
    <definedName name="______LD2">#REF!</definedName>
    <definedName name="______LD3" localSheetId="25">#REF!</definedName>
    <definedName name="______LD3" localSheetId="27">#REF!</definedName>
    <definedName name="______LD3">#REF!</definedName>
    <definedName name="______LD4" localSheetId="27">#REF!</definedName>
    <definedName name="______LD4">#REF!</definedName>
    <definedName name="______LD5" localSheetId="27">#REF!</definedName>
    <definedName name="______LD5">#REF!</definedName>
    <definedName name="______LD6" localSheetId="27">#REF!</definedName>
    <definedName name="______LD6">#REF!</definedName>
    <definedName name="______LR1" localSheetId="27">#REF!</definedName>
    <definedName name="______LR1">#REF!</definedName>
    <definedName name="______LR2" localSheetId="27">#REF!</definedName>
    <definedName name="______LR2">#REF!</definedName>
    <definedName name="______Mar06" localSheetId="27">#REF!</definedName>
    <definedName name="______Mar06">#REF!</definedName>
    <definedName name="______Mar09" localSheetId="27">#REF!</definedName>
    <definedName name="______Mar09">#REF!</definedName>
    <definedName name="______Mar10" localSheetId="27">#REF!</definedName>
    <definedName name="______Mar10">#REF!</definedName>
    <definedName name="______Mar11" localSheetId="27">#REF!</definedName>
    <definedName name="______Mar11">#REF!</definedName>
    <definedName name="______Mar12" localSheetId="27">#REF!</definedName>
    <definedName name="______Mar12">#REF!</definedName>
    <definedName name="______Mar13" localSheetId="27">#REF!</definedName>
    <definedName name="______Mar13">#REF!</definedName>
    <definedName name="______Mar16" localSheetId="27">#REF!</definedName>
    <definedName name="______Mar16">#REF!</definedName>
    <definedName name="______Mar17" localSheetId="27">#REF!</definedName>
    <definedName name="______Mar17">#REF!</definedName>
    <definedName name="______Mar18" localSheetId="27">#REF!</definedName>
    <definedName name="______Mar18">#REF!</definedName>
    <definedName name="______Mar19" localSheetId="27">#REF!</definedName>
    <definedName name="______Mar19">#REF!</definedName>
    <definedName name="______Mar20" localSheetId="27">#REF!</definedName>
    <definedName name="______Mar20">#REF!</definedName>
    <definedName name="______Mar23" localSheetId="27">#REF!</definedName>
    <definedName name="______Mar23">#REF!</definedName>
    <definedName name="______Mar24" localSheetId="27">#REF!</definedName>
    <definedName name="______Mar24">#REF!</definedName>
    <definedName name="______Mar25" localSheetId="27">#REF!</definedName>
    <definedName name="______Mar25">#REF!</definedName>
    <definedName name="______Mar26" localSheetId="27">#REF!</definedName>
    <definedName name="______Mar26">#REF!</definedName>
    <definedName name="______Mar27" localSheetId="27">#REF!</definedName>
    <definedName name="______Mar27">#REF!</definedName>
    <definedName name="______Mar28" localSheetId="27">#REF!</definedName>
    <definedName name="______Mar28">#REF!</definedName>
    <definedName name="______Mar30" localSheetId="27">#REF!</definedName>
    <definedName name="______Mar30">#REF!</definedName>
    <definedName name="______Mar31" localSheetId="27">#REF!</definedName>
    <definedName name="______Mar31">#REF!</definedName>
    <definedName name="______NCS111" localSheetId="25">#REF!</definedName>
    <definedName name="______NCS111" localSheetId="27">#REF!</definedName>
    <definedName name="______NCS111">#REF!</definedName>
    <definedName name="______PH1">#N/A</definedName>
    <definedName name="______PL1" localSheetId="25">#REF!</definedName>
    <definedName name="______PL1">#REF!</definedName>
    <definedName name="______SCH1" localSheetId="25">#REF!</definedName>
    <definedName name="______SCH1">#REF!</definedName>
    <definedName name="______SCH10" localSheetId="25">#REF!</definedName>
    <definedName name="______SCH10">#REF!</definedName>
    <definedName name="______SCH11">#REF!</definedName>
    <definedName name="______SCH12">#REF!</definedName>
    <definedName name="______sch13">#REF!</definedName>
    <definedName name="______SCH2">#REF!</definedName>
    <definedName name="______SCH3">#REF!</definedName>
    <definedName name="______SCH4">#REF!</definedName>
    <definedName name="______SCH5">#REF!</definedName>
    <definedName name="______SCH6" localSheetId="15">#REF!</definedName>
    <definedName name="______SCH6" localSheetId="35">#REF!</definedName>
    <definedName name="______SCH6" localSheetId="25">#REF!</definedName>
    <definedName name="______SCH6" localSheetId="27">#REF!</definedName>
    <definedName name="______SCH6" localSheetId="56">#REF!</definedName>
    <definedName name="______SCH6" localSheetId="57">#REF!</definedName>
    <definedName name="______SCH6">#REF!</definedName>
    <definedName name="______SCH7" localSheetId="25">#REF!</definedName>
    <definedName name="______SCH7">#REF!</definedName>
    <definedName name="______SCH8" localSheetId="25">#REF!</definedName>
    <definedName name="______SCH8">#REF!</definedName>
    <definedName name="______SCH9" localSheetId="25">#REF!</definedName>
    <definedName name="______SCH9">#REF!</definedName>
    <definedName name="______SH1" localSheetId="27">#REF!</definedName>
    <definedName name="______SH1">#REF!</definedName>
    <definedName name="______SH10" localSheetId="27">#REF!</definedName>
    <definedName name="______SH10">#REF!</definedName>
    <definedName name="______SH11" localSheetId="27">#REF!</definedName>
    <definedName name="______SH11">#REF!</definedName>
    <definedName name="______SH2" localSheetId="27">#REF!</definedName>
    <definedName name="______SH2">#REF!</definedName>
    <definedName name="______SH3" localSheetId="27">#REF!</definedName>
    <definedName name="______SH3">#REF!</definedName>
    <definedName name="______SH4" localSheetId="27">#REF!</definedName>
    <definedName name="______SH4">#REF!</definedName>
    <definedName name="______SH5" localSheetId="27">#REF!</definedName>
    <definedName name="______SH5">#REF!</definedName>
    <definedName name="______SH6" localSheetId="27">#REF!</definedName>
    <definedName name="______SH6">#REF!</definedName>
    <definedName name="______SH7" localSheetId="27">#REF!</definedName>
    <definedName name="______SH7">#REF!</definedName>
    <definedName name="______SH8" localSheetId="27">#REF!</definedName>
    <definedName name="______SH8">#REF!</definedName>
    <definedName name="______SH9" localSheetId="27">#REF!</definedName>
    <definedName name="______SH9">#REF!</definedName>
    <definedName name="_____a65565" localSheetId="29">#REF!</definedName>
    <definedName name="_____a65565" localSheetId="35">#REF!</definedName>
    <definedName name="_____a65565" localSheetId="23">#REF!</definedName>
    <definedName name="_____a65565" localSheetId="25">#REF!</definedName>
    <definedName name="_____a65565" localSheetId="27">#REF!</definedName>
    <definedName name="_____a65565">#REF!</definedName>
    <definedName name="_____Apr02" localSheetId="27">#REF!</definedName>
    <definedName name="_____Apr02">#REF!</definedName>
    <definedName name="_____Apr03" localSheetId="27">#REF!</definedName>
    <definedName name="_____Apr03">#REF!</definedName>
    <definedName name="_____Apr04" localSheetId="27">#REF!</definedName>
    <definedName name="_____Apr04">#REF!</definedName>
    <definedName name="_____Apr05" localSheetId="27">#REF!</definedName>
    <definedName name="_____Apr05">#REF!</definedName>
    <definedName name="_____Apr06" localSheetId="27">#REF!</definedName>
    <definedName name="_____Apr06">#REF!</definedName>
    <definedName name="_____Apr07" localSheetId="27">#REF!</definedName>
    <definedName name="_____Apr07">#REF!</definedName>
    <definedName name="_____Apr08" localSheetId="27">#REF!</definedName>
    <definedName name="_____Apr08">#REF!</definedName>
    <definedName name="_____Apr09" localSheetId="27">#REF!</definedName>
    <definedName name="_____Apr09">#REF!</definedName>
    <definedName name="_____Apr10" localSheetId="27">#REF!</definedName>
    <definedName name="_____Apr10">#REF!</definedName>
    <definedName name="_____Apr11" localSheetId="27">#REF!</definedName>
    <definedName name="_____Apr11">#REF!</definedName>
    <definedName name="_____Apr13" localSheetId="27">#REF!</definedName>
    <definedName name="_____Apr13">#REF!</definedName>
    <definedName name="_____Apr14" localSheetId="27">#REF!</definedName>
    <definedName name="_____Apr14">#REF!</definedName>
    <definedName name="_____Apr15" localSheetId="27">#REF!</definedName>
    <definedName name="_____Apr15">#REF!</definedName>
    <definedName name="_____Apr16" localSheetId="27">#REF!</definedName>
    <definedName name="_____Apr16">#REF!</definedName>
    <definedName name="_____Apr17" localSheetId="27">#REF!</definedName>
    <definedName name="_____Apr17">#REF!</definedName>
    <definedName name="_____Apr20" localSheetId="27">#REF!</definedName>
    <definedName name="_____Apr20">#REF!</definedName>
    <definedName name="_____Apr21" localSheetId="27">#REF!</definedName>
    <definedName name="_____Apr21">#REF!</definedName>
    <definedName name="_____Apr22" localSheetId="27">#REF!</definedName>
    <definedName name="_____Apr22">#REF!</definedName>
    <definedName name="_____Apr23" localSheetId="27">#REF!</definedName>
    <definedName name="_____Apr23">#REF!</definedName>
    <definedName name="_____Apr24" localSheetId="27">#REF!</definedName>
    <definedName name="_____Apr24">#REF!</definedName>
    <definedName name="_____Apr27" localSheetId="27">#REF!</definedName>
    <definedName name="_____Apr27">#REF!</definedName>
    <definedName name="_____Apr28" localSheetId="27">#REF!</definedName>
    <definedName name="_____Apr28">#REF!</definedName>
    <definedName name="_____Apr29" localSheetId="27">#REF!</definedName>
    <definedName name="_____Apr29">#REF!</definedName>
    <definedName name="_____Apr30" localSheetId="27">#REF!</definedName>
    <definedName name="_____Apr30">#REF!</definedName>
    <definedName name="_____arr2" localSheetId="2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3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2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2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5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BS1" localSheetId="25">#REF!</definedName>
    <definedName name="_____BS1">#REF!</definedName>
    <definedName name="_____bs2" localSheetId="25">#REF!</definedName>
    <definedName name="_____bs2">#REF!</definedName>
    <definedName name="_____BSD1" localSheetId="29">#REF!</definedName>
    <definedName name="_____BSD1" localSheetId="35">#REF!</definedName>
    <definedName name="_____BSD1" localSheetId="23">#REF!</definedName>
    <definedName name="_____BSD1" localSheetId="25">#REF!</definedName>
    <definedName name="_____BSD1" localSheetId="27">#REF!</definedName>
    <definedName name="_____BSD1">#REF!</definedName>
    <definedName name="_____BSD2" localSheetId="29">#REF!</definedName>
    <definedName name="_____BSD2" localSheetId="23">#REF!</definedName>
    <definedName name="_____BSD2" localSheetId="25">#REF!</definedName>
    <definedName name="_____BSD2" localSheetId="27">#REF!</definedName>
    <definedName name="_____BSD2">#REF!</definedName>
    <definedName name="_____CZ1" localSheetId="27">#REF!</definedName>
    <definedName name="_____CZ1">#REF!</definedName>
    <definedName name="_____FC1" localSheetId="15">#REF!</definedName>
    <definedName name="_____FC1" localSheetId="35">#REF!</definedName>
    <definedName name="_____FC1" localSheetId="25">#REF!</definedName>
    <definedName name="_____FC1" localSheetId="27">#REF!</definedName>
    <definedName name="_____FC1" localSheetId="56">#REF!</definedName>
    <definedName name="_____FC1" localSheetId="57">#REF!</definedName>
    <definedName name="_____FC1">#REF!</definedName>
    <definedName name="_____IED1" localSheetId="29">#REF!</definedName>
    <definedName name="_____IED1" localSheetId="35">#REF!</definedName>
    <definedName name="_____IED1" localSheetId="23">#REF!</definedName>
    <definedName name="_____IED1" localSheetId="25">#REF!</definedName>
    <definedName name="_____IED1" localSheetId="27">#REF!</definedName>
    <definedName name="_____IED1" localSheetId="57">#REF!</definedName>
    <definedName name="_____IED1">#REF!</definedName>
    <definedName name="_____IED2" localSheetId="29">#REF!</definedName>
    <definedName name="_____IED2" localSheetId="23">#REF!</definedName>
    <definedName name="_____IED2" localSheetId="25">#REF!</definedName>
    <definedName name="_____IED2" localSheetId="27">#REF!</definedName>
    <definedName name="_____IED2">#REF!</definedName>
    <definedName name="_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LD1" localSheetId="25">#REF!</definedName>
    <definedName name="_____LD1" localSheetId="27">#REF!</definedName>
    <definedName name="_____LD1">#REF!</definedName>
    <definedName name="_____LD2" localSheetId="25">#REF!</definedName>
    <definedName name="_____LD2" localSheetId="27">#REF!</definedName>
    <definedName name="_____LD2">#REF!</definedName>
    <definedName name="_____LD3" localSheetId="25">#REF!</definedName>
    <definedName name="_____LD3" localSheetId="27">#REF!</definedName>
    <definedName name="_____LD3">#REF!</definedName>
    <definedName name="_____LD4" localSheetId="27">#REF!</definedName>
    <definedName name="_____LD4">#REF!</definedName>
    <definedName name="_____LD5" localSheetId="27">#REF!</definedName>
    <definedName name="_____LD5">#REF!</definedName>
    <definedName name="_____LD6" localSheetId="27">#REF!</definedName>
    <definedName name="_____LD6">#REF!</definedName>
    <definedName name="_____LR1" localSheetId="27">#REF!</definedName>
    <definedName name="_____LR1">#REF!</definedName>
    <definedName name="_____LR2" localSheetId="27">#REF!</definedName>
    <definedName name="_____LR2">#REF!</definedName>
    <definedName name="_____Mar06" localSheetId="27">#REF!</definedName>
    <definedName name="_____Mar06">#REF!</definedName>
    <definedName name="_____Mar09" localSheetId="27">#REF!</definedName>
    <definedName name="_____Mar09">#REF!</definedName>
    <definedName name="_____Mar10" localSheetId="27">#REF!</definedName>
    <definedName name="_____Mar10">#REF!</definedName>
    <definedName name="_____Mar11" localSheetId="27">#REF!</definedName>
    <definedName name="_____Mar11">#REF!</definedName>
    <definedName name="_____Mar12" localSheetId="27">#REF!</definedName>
    <definedName name="_____Mar12">#REF!</definedName>
    <definedName name="_____Mar13" localSheetId="27">#REF!</definedName>
    <definedName name="_____Mar13">#REF!</definedName>
    <definedName name="_____Mar16" localSheetId="27">#REF!</definedName>
    <definedName name="_____Mar16">#REF!</definedName>
    <definedName name="_____Mar17" localSheetId="27">#REF!</definedName>
    <definedName name="_____Mar17">#REF!</definedName>
    <definedName name="_____Mar18" localSheetId="27">#REF!</definedName>
    <definedName name="_____Mar18">#REF!</definedName>
    <definedName name="_____Mar19" localSheetId="27">#REF!</definedName>
    <definedName name="_____Mar19">#REF!</definedName>
    <definedName name="_____Mar20" localSheetId="27">#REF!</definedName>
    <definedName name="_____Mar20">#REF!</definedName>
    <definedName name="_____Mar23" localSheetId="27">#REF!</definedName>
    <definedName name="_____Mar23">#REF!</definedName>
    <definedName name="_____Mar24" localSheetId="27">#REF!</definedName>
    <definedName name="_____Mar24">#REF!</definedName>
    <definedName name="_____Mar25" localSheetId="27">#REF!</definedName>
    <definedName name="_____Mar25">#REF!</definedName>
    <definedName name="_____Mar26" localSheetId="27">#REF!</definedName>
    <definedName name="_____Mar26">#REF!</definedName>
    <definedName name="_____Mar27" localSheetId="27">#REF!</definedName>
    <definedName name="_____Mar27">#REF!</definedName>
    <definedName name="_____Mar28" localSheetId="27">#REF!</definedName>
    <definedName name="_____Mar28">#REF!</definedName>
    <definedName name="_____Mar30" localSheetId="27">#REF!</definedName>
    <definedName name="_____Mar30">#REF!</definedName>
    <definedName name="_____Mar31" localSheetId="27">#REF!</definedName>
    <definedName name="_____Mar31">#REF!</definedName>
    <definedName name="_____NCS111" localSheetId="15">#REF!</definedName>
    <definedName name="_____NCS111" localSheetId="35">#REF!</definedName>
    <definedName name="_____NCS111" localSheetId="25">#REF!</definedName>
    <definedName name="_____NCS111" localSheetId="27">#REF!</definedName>
    <definedName name="_____NCS111" localSheetId="56">#REF!</definedName>
    <definedName name="_____NCS111" localSheetId="57">#REF!</definedName>
    <definedName name="_____NCS111">#REF!</definedName>
    <definedName name="_____PH1">#N/A</definedName>
    <definedName name="_____PL1" localSheetId="25">#REF!</definedName>
    <definedName name="_____PL1">#REF!</definedName>
    <definedName name="_____SCH1" localSheetId="25">#REF!</definedName>
    <definedName name="_____SCH1">#REF!</definedName>
    <definedName name="_____SCH10" localSheetId="25">#REF!</definedName>
    <definedName name="_____SCH10">#REF!</definedName>
    <definedName name="_____SCH11">#REF!</definedName>
    <definedName name="_____SCH12">#REF!</definedName>
    <definedName name="_____sch13">#REF!</definedName>
    <definedName name="_____SCH2">#REF!</definedName>
    <definedName name="_____SCH3">#REF!</definedName>
    <definedName name="_____SCH4">#REF!</definedName>
    <definedName name="_____SCH5">#REF!</definedName>
    <definedName name="_____SCH6" localSheetId="15">#REF!</definedName>
    <definedName name="_____SCH6" localSheetId="35">#REF!</definedName>
    <definedName name="_____SCH6" localSheetId="25">#REF!</definedName>
    <definedName name="_____SCH6" localSheetId="27">#REF!</definedName>
    <definedName name="_____SCH6" localSheetId="56">#REF!</definedName>
    <definedName name="_____SCH6" localSheetId="57">#REF!</definedName>
    <definedName name="_____SCH6">#REF!</definedName>
    <definedName name="_____SCH7" localSheetId="25">#REF!</definedName>
    <definedName name="_____SCH7">#REF!</definedName>
    <definedName name="_____SCH8" localSheetId="25">#REF!</definedName>
    <definedName name="_____SCH8">#REF!</definedName>
    <definedName name="_____SCH9" localSheetId="25">#REF!</definedName>
    <definedName name="_____SCH9">#REF!</definedName>
    <definedName name="_____SH1" localSheetId="27">#REF!</definedName>
    <definedName name="_____SH1">#REF!</definedName>
    <definedName name="_____SH10" localSheetId="27">#REF!</definedName>
    <definedName name="_____SH10">#REF!</definedName>
    <definedName name="_____SH11" localSheetId="27">#REF!</definedName>
    <definedName name="_____SH11">#REF!</definedName>
    <definedName name="_____SH2" localSheetId="27">#REF!</definedName>
    <definedName name="_____SH2">#REF!</definedName>
    <definedName name="_____SH3" localSheetId="27">#REF!</definedName>
    <definedName name="_____SH3">#REF!</definedName>
    <definedName name="_____SH4" localSheetId="27">#REF!</definedName>
    <definedName name="_____SH4">#REF!</definedName>
    <definedName name="_____SH5" localSheetId="27">#REF!</definedName>
    <definedName name="_____SH5">#REF!</definedName>
    <definedName name="_____SH6" localSheetId="27">#REF!</definedName>
    <definedName name="_____SH6">#REF!</definedName>
    <definedName name="_____SH7" localSheetId="27">#REF!</definedName>
    <definedName name="_____SH7">#REF!</definedName>
    <definedName name="_____SH8" localSheetId="27">#REF!</definedName>
    <definedName name="_____SH8">#REF!</definedName>
    <definedName name="_____SH9" localSheetId="27">#REF!</definedName>
    <definedName name="_____SH9">#REF!</definedName>
    <definedName name="____a65565" localSheetId="29">#REF!</definedName>
    <definedName name="____a65565" localSheetId="35">#REF!</definedName>
    <definedName name="____a65565" localSheetId="23">#REF!</definedName>
    <definedName name="____a65565" localSheetId="25">#REF!</definedName>
    <definedName name="____a65565" localSheetId="27">#REF!</definedName>
    <definedName name="____a65565">#REF!</definedName>
    <definedName name="____Apr02" localSheetId="27">#REF!</definedName>
    <definedName name="____Apr02">#REF!</definedName>
    <definedName name="____Apr03" localSheetId="27">#REF!</definedName>
    <definedName name="____Apr03">#REF!</definedName>
    <definedName name="____Apr04" localSheetId="27">#REF!</definedName>
    <definedName name="____Apr04">#REF!</definedName>
    <definedName name="____Apr05" localSheetId="27">#REF!</definedName>
    <definedName name="____Apr05">#REF!</definedName>
    <definedName name="____Apr06" localSheetId="27">#REF!</definedName>
    <definedName name="____Apr06">#REF!</definedName>
    <definedName name="____Apr07" localSheetId="27">#REF!</definedName>
    <definedName name="____Apr07">#REF!</definedName>
    <definedName name="____Apr08" localSheetId="27">#REF!</definedName>
    <definedName name="____Apr08">#REF!</definedName>
    <definedName name="____Apr09" localSheetId="27">#REF!</definedName>
    <definedName name="____Apr09">#REF!</definedName>
    <definedName name="____Apr10" localSheetId="27">#REF!</definedName>
    <definedName name="____Apr10">#REF!</definedName>
    <definedName name="____Apr11" localSheetId="27">#REF!</definedName>
    <definedName name="____Apr11">#REF!</definedName>
    <definedName name="____Apr13" localSheetId="27">#REF!</definedName>
    <definedName name="____Apr13">#REF!</definedName>
    <definedName name="____Apr14" localSheetId="27">#REF!</definedName>
    <definedName name="____Apr14">#REF!</definedName>
    <definedName name="____Apr15" localSheetId="27">#REF!</definedName>
    <definedName name="____Apr15">#REF!</definedName>
    <definedName name="____Apr16" localSheetId="27">#REF!</definedName>
    <definedName name="____Apr16">#REF!</definedName>
    <definedName name="____Apr17" localSheetId="27">#REF!</definedName>
    <definedName name="____Apr17">#REF!</definedName>
    <definedName name="____Apr20" localSheetId="27">#REF!</definedName>
    <definedName name="____Apr20">#REF!</definedName>
    <definedName name="____Apr21" localSheetId="27">#REF!</definedName>
    <definedName name="____Apr21">#REF!</definedName>
    <definedName name="____Apr22" localSheetId="27">#REF!</definedName>
    <definedName name="____Apr22">#REF!</definedName>
    <definedName name="____Apr23" localSheetId="27">#REF!</definedName>
    <definedName name="____Apr23">#REF!</definedName>
    <definedName name="____Apr24" localSheetId="27">#REF!</definedName>
    <definedName name="____Apr24">#REF!</definedName>
    <definedName name="____Apr27" localSheetId="27">#REF!</definedName>
    <definedName name="____Apr27">#REF!</definedName>
    <definedName name="____Apr28" localSheetId="27">#REF!</definedName>
    <definedName name="____Apr28">#REF!</definedName>
    <definedName name="____Apr29" localSheetId="27">#REF!</definedName>
    <definedName name="____Apr29">#REF!</definedName>
    <definedName name="____Apr30" localSheetId="27">#REF!</definedName>
    <definedName name="____Apr30">#REF!</definedName>
    <definedName name="____arr2" localSheetId="2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3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2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2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5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BS1" localSheetId="25">#REF!</definedName>
    <definedName name="____BS1">#REF!</definedName>
    <definedName name="____BSD1" localSheetId="29">#REF!</definedName>
    <definedName name="____BSD1" localSheetId="35">#REF!</definedName>
    <definedName name="____BSD1" localSheetId="23">#REF!</definedName>
    <definedName name="____BSD1" localSheetId="25">#REF!</definedName>
    <definedName name="____BSD1" localSheetId="27">#REF!</definedName>
    <definedName name="____BSD1">#REF!</definedName>
    <definedName name="____BSD2" localSheetId="29">#REF!</definedName>
    <definedName name="____BSD2" localSheetId="23">#REF!</definedName>
    <definedName name="____BSD2" localSheetId="25">#REF!</definedName>
    <definedName name="____BSD2" localSheetId="27">#REF!</definedName>
    <definedName name="____BSD2">#REF!</definedName>
    <definedName name="____CZ1" localSheetId="27">#REF!</definedName>
    <definedName name="____CZ1">#REF!</definedName>
    <definedName name="____FC1" localSheetId="25">#REF!</definedName>
    <definedName name="____FC1" localSheetId="27">#REF!</definedName>
    <definedName name="____FC1">#REF!</definedName>
    <definedName name="____IED1" localSheetId="29">#REF!</definedName>
    <definedName name="____IED1" localSheetId="35">#REF!</definedName>
    <definedName name="____IED1" localSheetId="23">#REF!</definedName>
    <definedName name="____IED1" localSheetId="25">#REF!</definedName>
    <definedName name="____IED1" localSheetId="27">#REF!</definedName>
    <definedName name="____IED1" localSheetId="57">#REF!</definedName>
    <definedName name="____IED1">#REF!</definedName>
    <definedName name="____IED2" localSheetId="29">#REF!</definedName>
    <definedName name="____IED2" localSheetId="23">#REF!</definedName>
    <definedName name="____IED2" localSheetId="25">#REF!</definedName>
    <definedName name="____IED2" localSheetId="27">#REF!</definedName>
    <definedName name="____IED2">#REF!</definedName>
    <definedName name="_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kvs1" localSheetId="25" hidden="1">{#N/A,#N/A,FALSE,"COVER1.XLS ";#N/A,#N/A,FALSE,"RACT1.XLS";#N/A,#N/A,FALSE,"RACT2.XLS";#N/A,#N/A,FALSE,"ECCMP";#N/A,#N/A,FALSE,"WELDER.XLS"}</definedName>
    <definedName name="____kvs1" localSheetId="1" hidden="1">{#N/A,#N/A,FALSE,"COVER1.XLS ";#N/A,#N/A,FALSE,"RACT1.XLS";#N/A,#N/A,FALSE,"RACT2.XLS";#N/A,#N/A,FALSE,"ECCMP";#N/A,#N/A,FALSE,"WELDER.XLS"}</definedName>
    <definedName name="____kvs1" hidden="1">{#N/A,#N/A,FALSE,"COVER1.XLS ";#N/A,#N/A,FALSE,"RACT1.XLS";#N/A,#N/A,FALSE,"RACT2.XLS";#N/A,#N/A,FALSE,"ECCMP";#N/A,#N/A,FALSE,"WELDER.XLS"}</definedName>
    <definedName name="____kvs2" localSheetId="25" hidden="1">{#N/A,#N/A,FALSE,"COVER1.XLS ";#N/A,#N/A,FALSE,"RACT1.XLS";#N/A,#N/A,FALSE,"RACT2.XLS";#N/A,#N/A,FALSE,"ECCMP";#N/A,#N/A,FALSE,"WELDER.XLS"}</definedName>
    <definedName name="____kvs2" localSheetId="1" hidden="1">{#N/A,#N/A,FALSE,"COVER1.XLS ";#N/A,#N/A,FALSE,"RACT1.XLS";#N/A,#N/A,FALSE,"RACT2.XLS";#N/A,#N/A,FALSE,"ECCMP";#N/A,#N/A,FALSE,"WELDER.XLS"}</definedName>
    <definedName name="____kvs2" hidden="1">{#N/A,#N/A,FALSE,"COVER1.XLS ";#N/A,#N/A,FALSE,"RACT1.XLS";#N/A,#N/A,FALSE,"RACT2.XLS";#N/A,#N/A,FALSE,"ECCMP";#N/A,#N/A,FALSE,"WELDER.XLS"}</definedName>
    <definedName name="____kvs5" localSheetId="25" hidden="1">{#N/A,#N/A,FALSE,"COVER.XLS";#N/A,#N/A,FALSE,"RACT1.XLS";#N/A,#N/A,FALSE,"RACT2.XLS";#N/A,#N/A,FALSE,"ECCMP";#N/A,#N/A,FALSE,"WELDER.XLS"}</definedName>
    <definedName name="____kvs5" localSheetId="1" hidden="1">{#N/A,#N/A,FALSE,"COVER.XLS";#N/A,#N/A,FALSE,"RACT1.XLS";#N/A,#N/A,FALSE,"RACT2.XLS";#N/A,#N/A,FALSE,"ECCMP";#N/A,#N/A,FALSE,"WELDER.XLS"}</definedName>
    <definedName name="____kvs5" hidden="1">{#N/A,#N/A,FALSE,"COVER.XLS";#N/A,#N/A,FALSE,"RACT1.XLS";#N/A,#N/A,FALSE,"RACT2.XLS";#N/A,#N/A,FALSE,"ECCMP";#N/A,#N/A,FALSE,"WELDER.XLS"}</definedName>
    <definedName name="____kvs8" localSheetId="25" hidden="1">{#N/A,#N/A,FALSE,"COVER1.XLS ";#N/A,#N/A,FALSE,"RACT1.XLS";#N/A,#N/A,FALSE,"RACT2.XLS";#N/A,#N/A,FALSE,"ECCMP";#N/A,#N/A,FALSE,"WELDER.XLS"}</definedName>
    <definedName name="____kvs8" localSheetId="1" hidden="1">{#N/A,#N/A,FALSE,"COVER1.XLS ";#N/A,#N/A,FALSE,"RACT1.XLS";#N/A,#N/A,FALSE,"RACT2.XLS";#N/A,#N/A,FALSE,"ECCMP";#N/A,#N/A,FALSE,"WELDER.XLS"}</definedName>
    <definedName name="____kvs8" hidden="1">{#N/A,#N/A,FALSE,"COVER1.XLS ";#N/A,#N/A,FALSE,"RACT1.XLS";#N/A,#N/A,FALSE,"RACT2.XLS";#N/A,#N/A,FALSE,"ECCMP";#N/A,#N/A,FALSE,"WELDER.XLS"}</definedName>
    <definedName name="____LD1" localSheetId="25">#REF!</definedName>
    <definedName name="____LD1" localSheetId="27">#REF!</definedName>
    <definedName name="____LD1">#REF!</definedName>
    <definedName name="____LD2" localSheetId="25">#REF!</definedName>
    <definedName name="____LD2" localSheetId="27">#REF!</definedName>
    <definedName name="____LD2">#REF!</definedName>
    <definedName name="____LD3" localSheetId="25">#REF!</definedName>
    <definedName name="____LD3" localSheetId="27">#REF!</definedName>
    <definedName name="____LD3">#REF!</definedName>
    <definedName name="____LD4" localSheetId="27">#REF!</definedName>
    <definedName name="____LD4">#REF!</definedName>
    <definedName name="____LD5" localSheetId="27">#REF!</definedName>
    <definedName name="____LD5">#REF!</definedName>
    <definedName name="____LD6" localSheetId="27">#REF!</definedName>
    <definedName name="____LD6">#REF!</definedName>
    <definedName name="____lk1"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R1" localSheetId="25">#REF!</definedName>
    <definedName name="____LR1" localSheetId="27">#REF!</definedName>
    <definedName name="____LR1">#REF!</definedName>
    <definedName name="____LR2" localSheetId="25">#REF!</definedName>
    <definedName name="____LR2" localSheetId="27">#REF!</definedName>
    <definedName name="____LR2">#REF!</definedName>
    <definedName name="____Mar06" localSheetId="25">#REF!</definedName>
    <definedName name="____Mar06" localSheetId="27">#REF!</definedName>
    <definedName name="____Mar06">#REF!</definedName>
    <definedName name="____Mar09" localSheetId="27">#REF!</definedName>
    <definedName name="____Mar09">#REF!</definedName>
    <definedName name="____Mar10" localSheetId="27">#REF!</definedName>
    <definedName name="____Mar10">#REF!</definedName>
    <definedName name="____Mar11" localSheetId="27">#REF!</definedName>
    <definedName name="____Mar11">#REF!</definedName>
    <definedName name="____Mar12" localSheetId="27">#REF!</definedName>
    <definedName name="____Mar12">#REF!</definedName>
    <definedName name="____Mar13" localSheetId="27">#REF!</definedName>
    <definedName name="____Mar13">#REF!</definedName>
    <definedName name="____Mar16" localSheetId="27">#REF!</definedName>
    <definedName name="____Mar16">#REF!</definedName>
    <definedName name="____Mar17" localSheetId="27">#REF!</definedName>
    <definedName name="____Mar17">#REF!</definedName>
    <definedName name="____Mar18" localSheetId="27">#REF!</definedName>
    <definedName name="____Mar18">#REF!</definedName>
    <definedName name="____Mar19" localSheetId="27">#REF!</definedName>
    <definedName name="____Mar19">#REF!</definedName>
    <definedName name="____Mar20" localSheetId="27">#REF!</definedName>
    <definedName name="____Mar20">#REF!</definedName>
    <definedName name="____Mar23" localSheetId="27">#REF!</definedName>
    <definedName name="____Mar23">#REF!</definedName>
    <definedName name="____Mar24" localSheetId="27">#REF!</definedName>
    <definedName name="____Mar24">#REF!</definedName>
    <definedName name="____Mar25" localSheetId="27">#REF!</definedName>
    <definedName name="____Mar25">#REF!</definedName>
    <definedName name="____Mar26" localSheetId="27">#REF!</definedName>
    <definedName name="____Mar26">#REF!</definedName>
    <definedName name="____Mar27" localSheetId="27">#REF!</definedName>
    <definedName name="____Mar27">#REF!</definedName>
    <definedName name="____Mar28" localSheetId="27">#REF!</definedName>
    <definedName name="____Mar28">#REF!</definedName>
    <definedName name="____Mar30" localSheetId="27">#REF!</definedName>
    <definedName name="____Mar30">#REF!</definedName>
    <definedName name="____Mar31" localSheetId="27">#REF!</definedName>
    <definedName name="____Mar31">#REF!</definedName>
    <definedName name="____NCS111" localSheetId="15">#REF!</definedName>
    <definedName name="____NCS111" localSheetId="35">#REF!</definedName>
    <definedName name="____NCS111" localSheetId="25">#REF!</definedName>
    <definedName name="____NCS111" localSheetId="27">#REF!</definedName>
    <definedName name="____NCS111" localSheetId="56">#REF!</definedName>
    <definedName name="____NCS111" localSheetId="57">#REF!</definedName>
    <definedName name="____NCS111">#REF!</definedName>
    <definedName name="____PH1">#N/A</definedName>
    <definedName name="____PL1" localSheetId="25">#REF!</definedName>
    <definedName name="____PL1">#REF!</definedName>
    <definedName name="____PRN1" localSheetId="25" hidden="1">{#N/A,#N/A,FALSE,"COVER.XLS";#N/A,#N/A,FALSE,"RACT1.XLS";#N/A,#N/A,FALSE,"RACT2.XLS";#N/A,#N/A,FALSE,"ECCMP";#N/A,#N/A,FALSE,"WELDER.XLS"}</definedName>
    <definedName name="____PRN1" localSheetId="1" hidden="1">{#N/A,#N/A,FALSE,"COVER.XLS";#N/A,#N/A,FALSE,"RACT1.XLS";#N/A,#N/A,FALSE,"RACT2.XLS";#N/A,#N/A,FALSE,"ECCMP";#N/A,#N/A,FALSE,"WELDER.XLS"}</definedName>
    <definedName name="____PRN1" hidden="1">{#N/A,#N/A,FALSE,"COVER.XLS";#N/A,#N/A,FALSE,"RACT1.XLS";#N/A,#N/A,FALSE,"RACT2.XLS";#N/A,#N/A,FALSE,"ECCMP";#N/A,#N/A,FALSE,"WELDER.XLS"}</definedName>
    <definedName name="____SCH12" localSheetId="25">#REF!</definedName>
    <definedName name="____SCH12">#REF!</definedName>
    <definedName name="____sch13" localSheetId="25">#REF!</definedName>
    <definedName name="____sch13">#REF!</definedName>
    <definedName name="____SCH5" localSheetId="25">#REF!</definedName>
    <definedName name="____SCH5">#REF!</definedName>
    <definedName name="____SCH6" localSheetId="15">#REF!</definedName>
    <definedName name="____SCH6" localSheetId="35">#REF!</definedName>
    <definedName name="____SCH6" localSheetId="25">#REF!</definedName>
    <definedName name="____SCH6" localSheetId="27">#REF!</definedName>
    <definedName name="____SCH6" localSheetId="56">#REF!</definedName>
    <definedName name="____SCH6" localSheetId="57">#REF!</definedName>
    <definedName name="____SCH6">#REF!</definedName>
    <definedName name="____SH1" localSheetId="25">#REF!</definedName>
    <definedName name="____SH1" localSheetId="27">#REF!</definedName>
    <definedName name="____SH1">#REF!</definedName>
    <definedName name="____SH10" localSheetId="25">#REF!</definedName>
    <definedName name="____SH10" localSheetId="27">#REF!</definedName>
    <definedName name="____SH10">#REF!</definedName>
    <definedName name="____SH11" localSheetId="25">#REF!</definedName>
    <definedName name="____SH11" localSheetId="27">#REF!</definedName>
    <definedName name="____SH11">#REF!</definedName>
    <definedName name="____SH2" localSheetId="27">#REF!</definedName>
    <definedName name="____SH2">#REF!</definedName>
    <definedName name="____SH3" localSheetId="27">#REF!</definedName>
    <definedName name="____SH3">#REF!</definedName>
    <definedName name="____SH4" localSheetId="27">#REF!</definedName>
    <definedName name="____SH4">#REF!</definedName>
    <definedName name="____SH5" localSheetId="27">#REF!</definedName>
    <definedName name="____SH5">#REF!</definedName>
    <definedName name="____SH6" localSheetId="27">#REF!</definedName>
    <definedName name="____SH6">#REF!</definedName>
    <definedName name="____SH7" localSheetId="27">#REF!</definedName>
    <definedName name="____SH7">#REF!</definedName>
    <definedName name="____SH8" localSheetId="27">#REF!</definedName>
    <definedName name="____SH8">#REF!</definedName>
    <definedName name="____SH9" localSheetId="27">#REF!</definedName>
    <definedName name="____SH9">#REF!</definedName>
    <definedName name="____tr1"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WRN1" localSheetId="25" hidden="1">{#N/A,#N/A,FALSE,"COVER1.XLS ";#N/A,#N/A,FALSE,"RACT1.XLS";#N/A,#N/A,FALSE,"RACT2.XLS";#N/A,#N/A,FALSE,"ECCMP";#N/A,#N/A,FALSE,"WELDER.XLS"}</definedName>
    <definedName name="____WRN1" localSheetId="1" hidden="1">{#N/A,#N/A,FALSE,"COVER1.XLS ";#N/A,#N/A,FALSE,"RACT1.XLS";#N/A,#N/A,FALSE,"RACT2.XLS";#N/A,#N/A,FALSE,"ECCMP";#N/A,#N/A,FALSE,"WELDER.XLS"}</definedName>
    <definedName name="____WRN1" hidden="1">{#N/A,#N/A,FALSE,"COVER1.XLS ";#N/A,#N/A,FALSE,"RACT1.XLS";#N/A,#N/A,FALSE,"RACT2.XLS";#N/A,#N/A,FALSE,"ECCMP";#N/A,#N/A,FALSE,"WELDER.XLS"}</definedName>
    <definedName name="____WRN2" localSheetId="25" hidden="1">{#N/A,#N/A,FALSE,"COVER1.XLS ";#N/A,#N/A,FALSE,"RACT1.XLS";#N/A,#N/A,FALSE,"RACT2.XLS";#N/A,#N/A,FALSE,"ECCMP";#N/A,#N/A,FALSE,"WELDER.XLS"}</definedName>
    <definedName name="____WRN2" localSheetId="1" hidden="1">{#N/A,#N/A,FALSE,"COVER1.XLS ";#N/A,#N/A,FALSE,"RACT1.XLS";#N/A,#N/A,FALSE,"RACT2.XLS";#N/A,#N/A,FALSE,"ECCMP";#N/A,#N/A,FALSE,"WELDER.XLS"}</definedName>
    <definedName name="____WRN2" hidden="1">{#N/A,#N/A,FALSE,"COVER1.XLS ";#N/A,#N/A,FALSE,"RACT1.XLS";#N/A,#N/A,FALSE,"RACT2.XLS";#N/A,#N/A,FALSE,"ECCMP";#N/A,#N/A,FALSE,"WELDER.XLS"}</definedName>
    <definedName name="____WRN3" localSheetId="25" hidden="1">{#N/A,#N/A,FALSE,"consu_cover";#N/A,#N/A,FALSE,"consu_strategy";#N/A,#N/A,FALSE,"consu_flow";#N/A,#N/A,FALSE,"Summary_reqmt";#N/A,#N/A,FALSE,"field_ppg";#N/A,#N/A,FALSE,"ppg_shop";#N/A,#N/A,FALSE,"strl";#N/A,#N/A,FALSE,"tankages";#N/A,#N/A,FALSE,"gases"}</definedName>
    <definedName name="____WRN3" localSheetId="1" hidden="1">{#N/A,#N/A,FALSE,"consu_cover";#N/A,#N/A,FALSE,"consu_strategy";#N/A,#N/A,FALSE,"consu_flow";#N/A,#N/A,FALSE,"Summary_reqmt";#N/A,#N/A,FALSE,"field_ppg";#N/A,#N/A,FALSE,"ppg_shop";#N/A,#N/A,FALSE,"strl";#N/A,#N/A,FALSE,"tankages";#N/A,#N/A,FALSE,"gases"}</definedName>
    <definedName name="____WRN3" hidden="1">{#N/A,#N/A,FALSE,"consu_cover";#N/A,#N/A,FALSE,"consu_strategy";#N/A,#N/A,FALSE,"consu_flow";#N/A,#N/A,FALSE,"Summary_reqmt";#N/A,#N/A,FALSE,"field_ppg";#N/A,#N/A,FALSE,"ppg_shop";#N/A,#N/A,FALSE,"strl";#N/A,#N/A,FALSE,"tankages";#N/A,#N/A,FALSE,"gases"}</definedName>
    <definedName name="___a65565" localSheetId="25">#REF!</definedName>
    <definedName name="___a65565">#REF!</definedName>
    <definedName name="___Apr02" localSheetId="25">#REF!</definedName>
    <definedName name="___Apr02" localSheetId="27">#REF!</definedName>
    <definedName name="___Apr02">#REF!</definedName>
    <definedName name="___Apr03" localSheetId="25">#REF!</definedName>
    <definedName name="___Apr03" localSheetId="27">#REF!</definedName>
    <definedName name="___Apr03">#REF!</definedName>
    <definedName name="___Apr04" localSheetId="27">#REF!</definedName>
    <definedName name="___Apr04">#REF!</definedName>
    <definedName name="___Apr05" localSheetId="27">#REF!</definedName>
    <definedName name="___Apr05">#REF!</definedName>
    <definedName name="___Apr06" localSheetId="27">#REF!</definedName>
    <definedName name="___Apr06">#REF!</definedName>
    <definedName name="___Apr07" localSheetId="27">#REF!</definedName>
    <definedName name="___Apr07">#REF!</definedName>
    <definedName name="___Apr08" localSheetId="27">#REF!</definedName>
    <definedName name="___Apr08">#REF!</definedName>
    <definedName name="___Apr09" localSheetId="27">#REF!</definedName>
    <definedName name="___Apr09">#REF!</definedName>
    <definedName name="___Apr10" localSheetId="27">#REF!</definedName>
    <definedName name="___Apr10">#REF!</definedName>
    <definedName name="___Apr11" localSheetId="27">#REF!</definedName>
    <definedName name="___Apr11">#REF!</definedName>
    <definedName name="___Apr13" localSheetId="27">#REF!</definedName>
    <definedName name="___Apr13">#REF!</definedName>
    <definedName name="___Apr14" localSheetId="27">#REF!</definedName>
    <definedName name="___Apr14">#REF!</definedName>
    <definedName name="___Apr15" localSheetId="27">#REF!</definedName>
    <definedName name="___Apr15">#REF!</definedName>
    <definedName name="___Apr16" localSheetId="27">#REF!</definedName>
    <definedName name="___Apr16">#REF!</definedName>
    <definedName name="___Apr17" localSheetId="27">#REF!</definedName>
    <definedName name="___Apr17">#REF!</definedName>
    <definedName name="___Apr20" localSheetId="27">#REF!</definedName>
    <definedName name="___Apr20">#REF!</definedName>
    <definedName name="___Apr21" localSheetId="27">#REF!</definedName>
    <definedName name="___Apr21">#REF!</definedName>
    <definedName name="___Apr22" localSheetId="27">#REF!</definedName>
    <definedName name="___Apr22">#REF!</definedName>
    <definedName name="___Apr23" localSheetId="27">#REF!</definedName>
    <definedName name="___Apr23">#REF!</definedName>
    <definedName name="___Apr24" localSheetId="27">#REF!</definedName>
    <definedName name="___Apr24">#REF!</definedName>
    <definedName name="___Apr27" localSheetId="27">#REF!</definedName>
    <definedName name="___Apr27">#REF!</definedName>
    <definedName name="___Apr28" localSheetId="27">#REF!</definedName>
    <definedName name="___Apr28">#REF!</definedName>
    <definedName name="___Apr29" localSheetId="27">#REF!</definedName>
    <definedName name="___Apr29">#REF!</definedName>
    <definedName name="___Apr30" localSheetId="27">#REF!</definedName>
    <definedName name="___Apr30">#REF!</definedName>
    <definedName name="_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b65555" localSheetId="25">#REF!</definedName>
    <definedName name="___b65555">#REF!</definedName>
    <definedName name="___BS1" localSheetId="25">#REF!</definedName>
    <definedName name="___BS1">#REF!</definedName>
    <definedName name="___BSD1" localSheetId="29">#REF!</definedName>
    <definedName name="___BSD1" localSheetId="35">#REF!</definedName>
    <definedName name="___BSD1" localSheetId="23">#REF!</definedName>
    <definedName name="___BSD1" localSheetId="25">#REF!</definedName>
    <definedName name="___BSD1" localSheetId="27">#REF!</definedName>
    <definedName name="___BSD1">#REF!</definedName>
    <definedName name="___BSD2" localSheetId="29">#REF!</definedName>
    <definedName name="___BSD2" localSheetId="23">#REF!</definedName>
    <definedName name="___BSD2" localSheetId="25">#REF!</definedName>
    <definedName name="___BSD2" localSheetId="27">#REF!</definedName>
    <definedName name="___BSD2">#REF!</definedName>
    <definedName name="___CZ1" localSheetId="27">#REF!</definedName>
    <definedName name="___CZ1">#REF!</definedName>
    <definedName name="___DAT1" localSheetId="15">#REF!</definedName>
    <definedName name="___DAT1" localSheetId="29">#REF!</definedName>
    <definedName name="___DAT1" localSheetId="23">#REF!</definedName>
    <definedName name="___DAT1" localSheetId="25">#REF!</definedName>
    <definedName name="___DAT1" localSheetId="27">#REF!</definedName>
    <definedName name="___DAT1" localSheetId="56">#REF!</definedName>
    <definedName name="___DAT1">#REF!</definedName>
    <definedName name="___DAT10" localSheetId="15">#REF!</definedName>
    <definedName name="___DAT10" localSheetId="27">#REF!</definedName>
    <definedName name="___DAT10" localSheetId="56">#REF!</definedName>
    <definedName name="___DAT10">#REF!</definedName>
    <definedName name="___DAT11" localSheetId="15">#REF!</definedName>
    <definedName name="___DAT11" localSheetId="27">#REF!</definedName>
    <definedName name="___DAT11" localSheetId="56">#REF!</definedName>
    <definedName name="___DAT11">#REF!</definedName>
    <definedName name="___DAT12" localSheetId="27">#REF!</definedName>
    <definedName name="___DAT12">#REF!</definedName>
    <definedName name="___DAT13" localSheetId="27">#REF!</definedName>
    <definedName name="___DAT13">#REF!</definedName>
    <definedName name="___DAT14" localSheetId="27">#REF!</definedName>
    <definedName name="___DAT14">#REF!</definedName>
    <definedName name="___DAT15" localSheetId="27">#REF!</definedName>
    <definedName name="___DAT15">#REF!</definedName>
    <definedName name="___DAT16" localSheetId="27">#REF!</definedName>
    <definedName name="___DAT16">#REF!</definedName>
    <definedName name="___DAT17" localSheetId="27">#REF!</definedName>
    <definedName name="___DAT17">#REF!</definedName>
    <definedName name="___DAT18" localSheetId="27">#REF!</definedName>
    <definedName name="___DAT18">#REF!</definedName>
    <definedName name="___DAT19" localSheetId="27">#REF!</definedName>
    <definedName name="___DAT19">#REF!</definedName>
    <definedName name="___DAT2" localSheetId="27">#REF!</definedName>
    <definedName name="___DAT2">#REF!</definedName>
    <definedName name="___DAT20" localSheetId="27">#REF!</definedName>
    <definedName name="___DAT20">#REF!</definedName>
    <definedName name="___DAT21" localSheetId="27">#REF!</definedName>
    <definedName name="___DAT21">#REF!</definedName>
    <definedName name="___DAT22" localSheetId="27">#REF!</definedName>
    <definedName name="___DAT22">#REF!</definedName>
    <definedName name="___DAT23" localSheetId="27">#REF!</definedName>
    <definedName name="___DAT23">#REF!</definedName>
    <definedName name="___DAT24" localSheetId="27">#REF!</definedName>
    <definedName name="___DAT24">#REF!</definedName>
    <definedName name="___DAT25" localSheetId="27">#REF!</definedName>
    <definedName name="___DAT25">#REF!</definedName>
    <definedName name="___DAT26" localSheetId="27">#REF!</definedName>
    <definedName name="___DAT26">#REF!</definedName>
    <definedName name="___DAT27" localSheetId="27">#REF!</definedName>
    <definedName name="___DAT27">#REF!</definedName>
    <definedName name="___DAT28" localSheetId="27">#REF!</definedName>
    <definedName name="___DAT28">#REF!</definedName>
    <definedName name="___DAT29" localSheetId="27">#REF!</definedName>
    <definedName name="___DAT29">#REF!</definedName>
    <definedName name="___DAT3" localSheetId="27">#REF!</definedName>
    <definedName name="___DAT3">#REF!</definedName>
    <definedName name="___DAT30" localSheetId="27">#REF!</definedName>
    <definedName name="___DAT30">#REF!</definedName>
    <definedName name="___DAT31" localSheetId="27">#REF!</definedName>
    <definedName name="___DAT31">#REF!</definedName>
    <definedName name="___DAT32" localSheetId="27">#REF!</definedName>
    <definedName name="___DAT32">#REF!</definedName>
    <definedName name="___DAT33" localSheetId="27">#REF!</definedName>
    <definedName name="___DAT33">#REF!</definedName>
    <definedName name="___DAT34" localSheetId="27">#REF!</definedName>
    <definedName name="___DAT34">#REF!</definedName>
    <definedName name="___DAT35" localSheetId="27">#REF!</definedName>
    <definedName name="___DAT35">#REF!</definedName>
    <definedName name="___DAT36" localSheetId="27">#REF!</definedName>
    <definedName name="___DAT36">#REF!</definedName>
    <definedName name="___DAT37" localSheetId="27">#REF!</definedName>
    <definedName name="___DAT37">#REF!</definedName>
    <definedName name="___DAT38" localSheetId="27">#REF!</definedName>
    <definedName name="___DAT38">#REF!</definedName>
    <definedName name="___DAT39" localSheetId="27">#REF!</definedName>
    <definedName name="___DAT39">#REF!</definedName>
    <definedName name="___DAT4" localSheetId="27">#REF!</definedName>
    <definedName name="___DAT4">#REF!</definedName>
    <definedName name="___DAT40" localSheetId="27">#REF!</definedName>
    <definedName name="___DAT40">#REF!</definedName>
    <definedName name="___DAT41" localSheetId="27">#REF!</definedName>
    <definedName name="___DAT41">#REF!</definedName>
    <definedName name="___DAT42" localSheetId="27">#REF!</definedName>
    <definedName name="___DAT42">#REF!</definedName>
    <definedName name="___DAT43" localSheetId="27">#REF!</definedName>
    <definedName name="___DAT43">#REF!</definedName>
    <definedName name="___DAT44" localSheetId="27">#REF!</definedName>
    <definedName name="___DAT44">#REF!</definedName>
    <definedName name="___DAT45" localSheetId="27">#REF!</definedName>
    <definedName name="___DAT45">#REF!</definedName>
    <definedName name="___DAT46" localSheetId="27">#REF!</definedName>
    <definedName name="___DAT46">#REF!</definedName>
    <definedName name="___DAT47" localSheetId="27">#REF!</definedName>
    <definedName name="___DAT47">#REF!</definedName>
    <definedName name="___DAT48" localSheetId="27">#REF!</definedName>
    <definedName name="___DAT48">#REF!</definedName>
    <definedName name="___DAT49" localSheetId="27">#REF!</definedName>
    <definedName name="___DAT49">#REF!</definedName>
    <definedName name="___DAT5" localSheetId="27">#REF!</definedName>
    <definedName name="___DAT5">#REF!</definedName>
    <definedName name="___DAT50" localSheetId="27">#REF!</definedName>
    <definedName name="___DAT50">#REF!</definedName>
    <definedName name="___DAT51" localSheetId="27">#REF!</definedName>
    <definedName name="___DAT51">#REF!</definedName>
    <definedName name="___DAT52" localSheetId="27">#REF!</definedName>
    <definedName name="___DAT52">#REF!</definedName>
    <definedName name="___DAT53" localSheetId="27">#REF!</definedName>
    <definedName name="___DAT53">#REF!</definedName>
    <definedName name="___DAT54" localSheetId="27">#REF!</definedName>
    <definedName name="___DAT54">#REF!</definedName>
    <definedName name="___DAT55" localSheetId="27">#REF!</definedName>
    <definedName name="___DAT55">#REF!</definedName>
    <definedName name="___DAT56" localSheetId="27">#REF!</definedName>
    <definedName name="___DAT56">#REF!</definedName>
    <definedName name="___DAT57" localSheetId="27">#REF!</definedName>
    <definedName name="___DAT57">#REF!</definedName>
    <definedName name="___DAT58" localSheetId="27">#REF!</definedName>
    <definedName name="___DAT58">#REF!</definedName>
    <definedName name="___DAT59" localSheetId="27">#REF!</definedName>
    <definedName name="___DAT59">#REF!</definedName>
    <definedName name="___DAT6" localSheetId="27">#REF!</definedName>
    <definedName name="___DAT6">#REF!</definedName>
    <definedName name="___DAT60" localSheetId="27">#REF!</definedName>
    <definedName name="___DAT60">#REF!</definedName>
    <definedName name="___DAT61" localSheetId="27">#REF!</definedName>
    <definedName name="___DAT61">#REF!</definedName>
    <definedName name="___DAT62" localSheetId="27">#REF!</definedName>
    <definedName name="___DAT62">#REF!</definedName>
    <definedName name="___DAT63" localSheetId="27">#REF!</definedName>
    <definedName name="___DAT63">#REF!</definedName>
    <definedName name="___DAT64" localSheetId="27">#REF!</definedName>
    <definedName name="___DAT64">#REF!</definedName>
    <definedName name="___DAT65" localSheetId="27">#REF!</definedName>
    <definedName name="___DAT65">#REF!</definedName>
    <definedName name="___DAT66" localSheetId="27">#REF!</definedName>
    <definedName name="___DAT66">#REF!</definedName>
    <definedName name="___DAT67" localSheetId="27">#REF!</definedName>
    <definedName name="___DAT67">#REF!</definedName>
    <definedName name="___DAT68" localSheetId="27">#REF!</definedName>
    <definedName name="___DAT68">#REF!</definedName>
    <definedName name="___DAT69" localSheetId="27">#REF!</definedName>
    <definedName name="___DAT69">#REF!</definedName>
    <definedName name="___DAT7" localSheetId="27">#REF!</definedName>
    <definedName name="___DAT7">#REF!</definedName>
    <definedName name="___DAT70" localSheetId="27">#REF!</definedName>
    <definedName name="___DAT70">#REF!</definedName>
    <definedName name="___DAT71" localSheetId="27">#REF!</definedName>
    <definedName name="___DAT71">#REF!</definedName>
    <definedName name="___DAT72" localSheetId="27">#REF!</definedName>
    <definedName name="___DAT72">#REF!</definedName>
    <definedName name="___DAT73" localSheetId="27">#REF!</definedName>
    <definedName name="___DAT73">#REF!</definedName>
    <definedName name="___DAT74" localSheetId="27">#REF!</definedName>
    <definedName name="___DAT74">#REF!</definedName>
    <definedName name="___DAT75" localSheetId="27">#REF!</definedName>
    <definedName name="___DAT75">#REF!</definedName>
    <definedName name="___DAT76" localSheetId="27">#REF!</definedName>
    <definedName name="___DAT76">#REF!</definedName>
    <definedName name="___DAT77" localSheetId="27">#REF!</definedName>
    <definedName name="___DAT77">#REF!</definedName>
    <definedName name="___DAT78" localSheetId="27">#REF!</definedName>
    <definedName name="___DAT78">#REF!</definedName>
    <definedName name="___DAT79" localSheetId="27">#REF!</definedName>
    <definedName name="___DAT79">#REF!</definedName>
    <definedName name="___DAT8" localSheetId="27">#REF!</definedName>
    <definedName name="___DAT8">#REF!</definedName>
    <definedName name="___DAT80" localSheetId="27">#REF!</definedName>
    <definedName name="___DAT80">#REF!</definedName>
    <definedName name="___DAT81" localSheetId="27">#REF!</definedName>
    <definedName name="___DAT81">#REF!</definedName>
    <definedName name="___DAT82" localSheetId="27">#REF!</definedName>
    <definedName name="___DAT82">#REF!</definedName>
    <definedName name="___DAT83" localSheetId="27">#REF!</definedName>
    <definedName name="___DAT83">#REF!</definedName>
    <definedName name="___DAT84" localSheetId="27">#REF!</definedName>
    <definedName name="___DAT84">#REF!</definedName>
    <definedName name="___DAT85" localSheetId="27">#REF!</definedName>
    <definedName name="___DAT85">#REF!</definedName>
    <definedName name="___DAT86" localSheetId="27">#REF!</definedName>
    <definedName name="___DAT86">#REF!</definedName>
    <definedName name="___DAT87" localSheetId="27">#REF!</definedName>
    <definedName name="___DAT87">#REF!</definedName>
    <definedName name="___DAT9" localSheetId="27">#REF!</definedName>
    <definedName name="___DAT9">#REF!</definedName>
    <definedName name="___FC1" localSheetId="15">#REF!</definedName>
    <definedName name="___FC1" localSheetId="35">#REF!</definedName>
    <definedName name="___FC1" localSheetId="25">#REF!</definedName>
    <definedName name="___FC1" localSheetId="27">#REF!</definedName>
    <definedName name="___FC1" localSheetId="56">#REF!</definedName>
    <definedName name="___FC1" localSheetId="57">#REF!</definedName>
    <definedName name="___FC1">#REF!</definedName>
    <definedName name="___IED1" localSheetId="29">#REF!</definedName>
    <definedName name="___IED1" localSheetId="35">#REF!</definedName>
    <definedName name="___IED1" localSheetId="23">#REF!</definedName>
    <definedName name="___IED1" localSheetId="25">#REF!</definedName>
    <definedName name="___IED1" localSheetId="27">#REF!</definedName>
    <definedName name="___IED1" localSheetId="57">#REF!</definedName>
    <definedName name="___IED1">#REF!</definedName>
    <definedName name="___IED2" localSheetId="29">#REF!</definedName>
    <definedName name="___IED2" localSheetId="23">#REF!</definedName>
    <definedName name="___IED2" localSheetId="25">#REF!</definedName>
    <definedName name="___IED2" localSheetId="27">#REF!</definedName>
    <definedName name="___IED2">#REF!</definedName>
    <definedName name="___INDEX_SHEET___ASAP_Utilities">#REF!</definedName>
    <definedName name="_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kvs1" localSheetId="25" hidden="1">{#N/A,#N/A,FALSE,"COVER1.XLS ";#N/A,#N/A,FALSE,"RACT1.XLS";#N/A,#N/A,FALSE,"RACT2.XLS";#N/A,#N/A,FALSE,"ECCMP";#N/A,#N/A,FALSE,"WELDER.XLS"}</definedName>
    <definedName name="___kvs1" localSheetId="1" hidden="1">{#N/A,#N/A,FALSE,"COVER1.XLS ";#N/A,#N/A,FALSE,"RACT1.XLS";#N/A,#N/A,FALSE,"RACT2.XLS";#N/A,#N/A,FALSE,"ECCMP";#N/A,#N/A,FALSE,"WELDER.XLS"}</definedName>
    <definedName name="___kvs1" hidden="1">{#N/A,#N/A,FALSE,"COVER1.XLS ";#N/A,#N/A,FALSE,"RACT1.XLS";#N/A,#N/A,FALSE,"RACT2.XLS";#N/A,#N/A,FALSE,"ECCMP";#N/A,#N/A,FALSE,"WELDER.XLS"}</definedName>
    <definedName name="___kvs2" localSheetId="25" hidden="1">{#N/A,#N/A,FALSE,"COVER1.XLS ";#N/A,#N/A,FALSE,"RACT1.XLS";#N/A,#N/A,FALSE,"RACT2.XLS";#N/A,#N/A,FALSE,"ECCMP";#N/A,#N/A,FALSE,"WELDER.XLS"}</definedName>
    <definedName name="___kvs2" localSheetId="1" hidden="1">{#N/A,#N/A,FALSE,"COVER1.XLS ";#N/A,#N/A,FALSE,"RACT1.XLS";#N/A,#N/A,FALSE,"RACT2.XLS";#N/A,#N/A,FALSE,"ECCMP";#N/A,#N/A,FALSE,"WELDER.XLS"}</definedName>
    <definedName name="___kvs2" hidden="1">{#N/A,#N/A,FALSE,"COVER1.XLS ";#N/A,#N/A,FALSE,"RACT1.XLS";#N/A,#N/A,FALSE,"RACT2.XLS";#N/A,#N/A,FALSE,"ECCMP";#N/A,#N/A,FALSE,"WELDER.XLS"}</definedName>
    <definedName name="___kvs5" localSheetId="25" hidden="1">{#N/A,#N/A,FALSE,"COVER.XLS";#N/A,#N/A,FALSE,"RACT1.XLS";#N/A,#N/A,FALSE,"RACT2.XLS";#N/A,#N/A,FALSE,"ECCMP";#N/A,#N/A,FALSE,"WELDER.XLS"}</definedName>
    <definedName name="___kvs5" localSheetId="1" hidden="1">{#N/A,#N/A,FALSE,"COVER.XLS";#N/A,#N/A,FALSE,"RACT1.XLS";#N/A,#N/A,FALSE,"RACT2.XLS";#N/A,#N/A,FALSE,"ECCMP";#N/A,#N/A,FALSE,"WELDER.XLS"}</definedName>
    <definedName name="___kvs5" hidden="1">{#N/A,#N/A,FALSE,"COVER.XLS";#N/A,#N/A,FALSE,"RACT1.XLS";#N/A,#N/A,FALSE,"RACT2.XLS";#N/A,#N/A,FALSE,"ECCMP";#N/A,#N/A,FALSE,"WELDER.XLS"}</definedName>
    <definedName name="___kvs8" localSheetId="25" hidden="1">{#N/A,#N/A,FALSE,"COVER1.XLS ";#N/A,#N/A,FALSE,"RACT1.XLS";#N/A,#N/A,FALSE,"RACT2.XLS";#N/A,#N/A,FALSE,"ECCMP";#N/A,#N/A,FALSE,"WELDER.XLS"}</definedName>
    <definedName name="___kvs8" localSheetId="1" hidden="1">{#N/A,#N/A,FALSE,"COVER1.XLS ";#N/A,#N/A,FALSE,"RACT1.XLS";#N/A,#N/A,FALSE,"RACT2.XLS";#N/A,#N/A,FALSE,"ECCMP";#N/A,#N/A,FALSE,"WELDER.XLS"}</definedName>
    <definedName name="___kvs8" hidden="1">{#N/A,#N/A,FALSE,"COVER1.XLS ";#N/A,#N/A,FALSE,"RACT1.XLS";#N/A,#N/A,FALSE,"RACT2.XLS";#N/A,#N/A,FALSE,"ECCMP";#N/A,#N/A,FALSE,"WELDER.XLS"}</definedName>
    <definedName name="___LD1" localSheetId="25">#REF!</definedName>
    <definedName name="___LD1" localSheetId="27">#REF!</definedName>
    <definedName name="___LD1">#REF!</definedName>
    <definedName name="___LD2" localSheetId="25">#REF!</definedName>
    <definedName name="___LD2" localSheetId="27">#REF!</definedName>
    <definedName name="___LD2">#REF!</definedName>
    <definedName name="___LD3" localSheetId="25">#REF!</definedName>
    <definedName name="___LD3" localSheetId="27">#REF!</definedName>
    <definedName name="___LD3">#REF!</definedName>
    <definedName name="___LD4" localSheetId="27">#REF!</definedName>
    <definedName name="___LD4">#REF!</definedName>
    <definedName name="___LD5" localSheetId="27">#REF!</definedName>
    <definedName name="___LD5">#REF!</definedName>
    <definedName name="___LD6" localSheetId="27">#REF!</definedName>
    <definedName name="___LD6">#REF!</definedName>
    <definedName name="___lk1"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R1" localSheetId="25">#REF!</definedName>
    <definedName name="___LR1" localSheetId="27">#REF!</definedName>
    <definedName name="___LR1">#REF!</definedName>
    <definedName name="___LR2" localSheetId="25">#REF!</definedName>
    <definedName name="___LR2" localSheetId="27">#REF!</definedName>
    <definedName name="___LR2">#REF!</definedName>
    <definedName name="___Mar06" localSheetId="25">#REF!</definedName>
    <definedName name="___Mar06" localSheetId="27">#REF!</definedName>
    <definedName name="___Mar06">#REF!</definedName>
    <definedName name="___Mar09" localSheetId="27">#REF!</definedName>
    <definedName name="___Mar09">#REF!</definedName>
    <definedName name="___Mar10" localSheetId="27">#REF!</definedName>
    <definedName name="___Mar10">#REF!</definedName>
    <definedName name="___Mar11" localSheetId="27">#REF!</definedName>
    <definedName name="___Mar11">#REF!</definedName>
    <definedName name="___Mar12" localSheetId="27">#REF!</definedName>
    <definedName name="___Mar12">#REF!</definedName>
    <definedName name="___Mar13" localSheetId="27">#REF!</definedName>
    <definedName name="___Mar13">#REF!</definedName>
    <definedName name="___Mar16" localSheetId="27">#REF!</definedName>
    <definedName name="___Mar16">#REF!</definedName>
    <definedName name="___Mar17" localSheetId="27">#REF!</definedName>
    <definedName name="___Mar17">#REF!</definedName>
    <definedName name="___Mar18" localSheetId="27">#REF!</definedName>
    <definedName name="___Mar18">#REF!</definedName>
    <definedName name="___Mar19" localSheetId="27">#REF!</definedName>
    <definedName name="___Mar19">#REF!</definedName>
    <definedName name="___Mar20" localSheetId="27">#REF!</definedName>
    <definedName name="___Mar20">#REF!</definedName>
    <definedName name="___Mar23" localSheetId="27">#REF!</definedName>
    <definedName name="___Mar23">#REF!</definedName>
    <definedName name="___Mar24" localSheetId="27">#REF!</definedName>
    <definedName name="___Mar24">#REF!</definedName>
    <definedName name="___Mar25" localSheetId="27">#REF!</definedName>
    <definedName name="___Mar25">#REF!</definedName>
    <definedName name="___Mar26" localSheetId="27">#REF!</definedName>
    <definedName name="___Mar26">#REF!</definedName>
    <definedName name="___Mar27" localSheetId="27">#REF!</definedName>
    <definedName name="___Mar27">#REF!</definedName>
    <definedName name="___Mar28" localSheetId="27">#REF!</definedName>
    <definedName name="___Mar28">#REF!</definedName>
    <definedName name="___Mar30" localSheetId="27">#REF!</definedName>
    <definedName name="___Mar30">#REF!</definedName>
    <definedName name="___Mar31" localSheetId="27">#REF!</definedName>
    <definedName name="___Mar31">#REF!</definedName>
    <definedName name="___nA84" localSheetId="15">#REF!</definedName>
    <definedName name="___nA84" localSheetId="29">#REF!</definedName>
    <definedName name="___nA84" localSheetId="23">#REF!</definedName>
    <definedName name="___nA84" localSheetId="25">#REF!</definedName>
    <definedName name="___nA84" localSheetId="27">#REF!</definedName>
    <definedName name="___nA84" localSheetId="56">#REF!</definedName>
    <definedName name="___nA84">#REF!</definedName>
    <definedName name="___NCS111" localSheetId="15">#REF!</definedName>
    <definedName name="___NCS111" localSheetId="35">#REF!</definedName>
    <definedName name="___NCS111" localSheetId="25">#REF!</definedName>
    <definedName name="___NCS111" localSheetId="27">#REF!</definedName>
    <definedName name="___NCS111" localSheetId="56">#REF!</definedName>
    <definedName name="___NCS111" localSheetId="57">#REF!</definedName>
    <definedName name="___NCS111">#REF!</definedName>
    <definedName name="___PH1">#N/A</definedName>
    <definedName name="___PL1" localSheetId="25">#REF!</definedName>
    <definedName name="___PL1">#REF!</definedName>
    <definedName name="___PRN1" localSheetId="25" hidden="1">{#N/A,#N/A,FALSE,"COVER.XLS";#N/A,#N/A,FALSE,"RACT1.XLS";#N/A,#N/A,FALSE,"RACT2.XLS";#N/A,#N/A,FALSE,"ECCMP";#N/A,#N/A,FALSE,"WELDER.XLS"}</definedName>
    <definedName name="___PRN1" localSheetId="1" hidden="1">{#N/A,#N/A,FALSE,"COVER.XLS";#N/A,#N/A,FALSE,"RACT1.XLS";#N/A,#N/A,FALSE,"RACT2.XLS";#N/A,#N/A,FALSE,"ECCMP";#N/A,#N/A,FALSE,"WELDER.XLS"}</definedName>
    <definedName name="___PRN1" hidden="1">{#N/A,#N/A,FALSE,"COVER.XLS";#N/A,#N/A,FALSE,"RACT1.XLS";#N/A,#N/A,FALSE,"RACT2.XLS";#N/A,#N/A,FALSE,"ECCMP";#N/A,#N/A,FALSE,"WELDER.XLS"}</definedName>
    <definedName name="___SCH12" localSheetId="25">#REF!</definedName>
    <definedName name="___SCH12">#REF!</definedName>
    <definedName name="___sch13" localSheetId="25">#REF!</definedName>
    <definedName name="___sch13">#REF!</definedName>
    <definedName name="___SCH5" localSheetId="25">#REF!</definedName>
    <definedName name="___SCH5">#REF!</definedName>
    <definedName name="___SCH6" localSheetId="15">#REF!</definedName>
    <definedName name="___SCH6" localSheetId="35">#REF!</definedName>
    <definedName name="___SCH6" localSheetId="25">#REF!</definedName>
    <definedName name="___SCH6" localSheetId="27">#REF!</definedName>
    <definedName name="___SCH6" localSheetId="56">#REF!</definedName>
    <definedName name="___SCH6" localSheetId="57">#REF!</definedName>
    <definedName name="___SCH6">#REF!</definedName>
    <definedName name="___SH1" localSheetId="25">#REF!</definedName>
    <definedName name="___SH1" localSheetId="27">#REF!</definedName>
    <definedName name="___SH1">#REF!</definedName>
    <definedName name="___SH10" localSheetId="25">#REF!</definedName>
    <definedName name="___SH10" localSheetId="27">#REF!</definedName>
    <definedName name="___SH10">#REF!</definedName>
    <definedName name="___SH11" localSheetId="25">#REF!</definedName>
    <definedName name="___SH11" localSheetId="27">#REF!</definedName>
    <definedName name="___SH11">#REF!</definedName>
    <definedName name="___SH2" localSheetId="27">#REF!</definedName>
    <definedName name="___SH2">#REF!</definedName>
    <definedName name="___SH3" localSheetId="27">#REF!</definedName>
    <definedName name="___SH3">#REF!</definedName>
    <definedName name="___SH4" localSheetId="27">#REF!</definedName>
    <definedName name="___SH4">#REF!</definedName>
    <definedName name="___SH5" localSheetId="27">#REF!</definedName>
    <definedName name="___SH5">#REF!</definedName>
    <definedName name="___SH6" localSheetId="27">#REF!</definedName>
    <definedName name="___SH6">#REF!</definedName>
    <definedName name="___SH7" localSheetId="27">#REF!</definedName>
    <definedName name="___SH7">#REF!</definedName>
    <definedName name="___SH8" localSheetId="27">#REF!</definedName>
    <definedName name="___SH8">#REF!</definedName>
    <definedName name="___SH9" localSheetId="27">#REF!</definedName>
    <definedName name="___SH9">#REF!</definedName>
    <definedName name="___tr1"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WRN1" localSheetId="25" hidden="1">{#N/A,#N/A,FALSE,"COVER1.XLS ";#N/A,#N/A,FALSE,"RACT1.XLS";#N/A,#N/A,FALSE,"RACT2.XLS";#N/A,#N/A,FALSE,"ECCMP";#N/A,#N/A,FALSE,"WELDER.XLS"}</definedName>
    <definedName name="___WRN1" localSheetId="1" hidden="1">{#N/A,#N/A,FALSE,"COVER1.XLS ";#N/A,#N/A,FALSE,"RACT1.XLS";#N/A,#N/A,FALSE,"RACT2.XLS";#N/A,#N/A,FALSE,"ECCMP";#N/A,#N/A,FALSE,"WELDER.XLS"}</definedName>
    <definedName name="___WRN1" hidden="1">{#N/A,#N/A,FALSE,"COVER1.XLS ";#N/A,#N/A,FALSE,"RACT1.XLS";#N/A,#N/A,FALSE,"RACT2.XLS";#N/A,#N/A,FALSE,"ECCMP";#N/A,#N/A,FALSE,"WELDER.XLS"}</definedName>
    <definedName name="___WRN2" localSheetId="25" hidden="1">{#N/A,#N/A,FALSE,"COVER1.XLS ";#N/A,#N/A,FALSE,"RACT1.XLS";#N/A,#N/A,FALSE,"RACT2.XLS";#N/A,#N/A,FALSE,"ECCMP";#N/A,#N/A,FALSE,"WELDER.XLS"}</definedName>
    <definedName name="___WRN2" localSheetId="1" hidden="1">{#N/A,#N/A,FALSE,"COVER1.XLS ";#N/A,#N/A,FALSE,"RACT1.XLS";#N/A,#N/A,FALSE,"RACT2.XLS";#N/A,#N/A,FALSE,"ECCMP";#N/A,#N/A,FALSE,"WELDER.XLS"}</definedName>
    <definedName name="___WRN2" hidden="1">{#N/A,#N/A,FALSE,"COVER1.XLS ";#N/A,#N/A,FALSE,"RACT1.XLS";#N/A,#N/A,FALSE,"RACT2.XLS";#N/A,#N/A,FALSE,"ECCMP";#N/A,#N/A,FALSE,"WELDER.XLS"}</definedName>
    <definedName name="___WRN3" localSheetId="25" hidden="1">{#N/A,#N/A,FALSE,"consu_cover";#N/A,#N/A,FALSE,"consu_strategy";#N/A,#N/A,FALSE,"consu_flow";#N/A,#N/A,FALSE,"Summary_reqmt";#N/A,#N/A,FALSE,"field_ppg";#N/A,#N/A,FALSE,"ppg_shop";#N/A,#N/A,FALSE,"strl";#N/A,#N/A,FALSE,"tankages";#N/A,#N/A,FALSE,"gases"}</definedName>
    <definedName name="___WRN3" localSheetId="1" hidden="1">{#N/A,#N/A,FALSE,"consu_cover";#N/A,#N/A,FALSE,"consu_strategy";#N/A,#N/A,FALSE,"consu_flow";#N/A,#N/A,FALSE,"Summary_reqmt";#N/A,#N/A,FALSE,"field_ppg";#N/A,#N/A,FALSE,"ppg_shop";#N/A,#N/A,FALSE,"strl";#N/A,#N/A,FALSE,"tankages";#N/A,#N/A,FALSE,"gases"}</definedName>
    <definedName name="___WRN3" hidden="1">{#N/A,#N/A,FALSE,"consu_cover";#N/A,#N/A,FALSE,"consu_strategy";#N/A,#N/A,FALSE,"consu_flow";#N/A,#N/A,FALSE,"Summary_reqmt";#N/A,#N/A,FALSE,"field_ppg";#N/A,#N/A,FALSE,"ppg_shop";#N/A,#N/A,FALSE,"strl";#N/A,#N/A,FALSE,"tankages";#N/A,#N/A,FALSE,"gases"}</definedName>
    <definedName name="__123Graph_A" localSheetId="16" hidden="1">#REF!</definedName>
    <definedName name="__123Graph_A" localSheetId="38" hidden="1">#REF!</definedName>
    <definedName name="__123Graph_A" localSheetId="43" hidden="1">#REF!</definedName>
    <definedName name="__123Graph_A" localSheetId="44" hidden="1">#REF!</definedName>
    <definedName name="__123Graph_A" localSheetId="25" hidden="1">#REF!</definedName>
    <definedName name="__123Graph_A" localSheetId="27" hidden="1">#REF!</definedName>
    <definedName name="__123Graph_A" hidden="1">#REF!</definedName>
    <definedName name="__123Graph_ASTNPLF" localSheetId="43" hidden="1">#REF!</definedName>
    <definedName name="__123Graph_ASTNPLF" localSheetId="44" hidden="1">#REF!</definedName>
    <definedName name="__123Graph_ASTNPLF" localSheetId="25" hidden="1">#REF!</definedName>
    <definedName name="__123Graph_ASTNPLF" localSheetId="27" hidden="1">#REF!</definedName>
    <definedName name="__123Graph_ASTNPLF" hidden="1">#REF!</definedName>
    <definedName name="__123Graph_B" localSheetId="43" hidden="1">#REF!</definedName>
    <definedName name="__123Graph_B" localSheetId="25" hidden="1">#REF!</definedName>
    <definedName name="__123Graph_B" localSheetId="27" hidden="1">#REF!</definedName>
    <definedName name="__123Graph_B" hidden="1">#REF!</definedName>
    <definedName name="__123Graph_BCURRENT" localSheetId="25" hidden="1">#REF!</definedName>
    <definedName name="__123Graph_BCURRENT" localSheetId="27" hidden="1">#REF!</definedName>
    <definedName name="__123Graph_BCURRENT" hidden="1">#REF!</definedName>
    <definedName name="__123Graph_BSTNPLF" localSheetId="43" hidden="1">#REF!</definedName>
    <definedName name="__123Graph_BSTNPLF" localSheetId="25" hidden="1">#REF!</definedName>
    <definedName name="__123Graph_BSTNPLF" localSheetId="27" hidden="1">#REF!</definedName>
    <definedName name="__123Graph_BSTNPLF" hidden="1">#REF!</definedName>
    <definedName name="__123Graph_C" localSheetId="25" hidden="1">#REF!</definedName>
    <definedName name="__123Graph_C" localSheetId="27" hidden="1">#REF!</definedName>
    <definedName name="__123Graph_C" hidden="1">#REF!</definedName>
    <definedName name="__123Graph_CSTNPLF" localSheetId="25" hidden="1">#REF!</definedName>
    <definedName name="__123Graph_CSTNPLF" localSheetId="27" hidden="1">#REF!</definedName>
    <definedName name="__123Graph_CSTNPLF" hidden="1">#REF!</definedName>
    <definedName name="__123Graph_D" localSheetId="25" hidden="1">#REF!</definedName>
    <definedName name="__123Graph_D" localSheetId="27" hidden="1">#REF!</definedName>
    <definedName name="__123Graph_D" hidden="1">#REF!</definedName>
    <definedName name="__123Graph_DCURRENT" localSheetId="25" hidden="1">#REF!</definedName>
    <definedName name="__123Graph_DCURRENT" localSheetId="27" hidden="1">#REF!</definedName>
    <definedName name="__123Graph_DCURRENT" hidden="1">#REF!</definedName>
    <definedName name="__123Graph_E" localSheetId="25" hidden="1">#REF!</definedName>
    <definedName name="__123Graph_E" localSheetId="27" hidden="1">#REF!</definedName>
    <definedName name="__123Graph_E" hidden="1">#REF!</definedName>
    <definedName name="__123Graph_F" localSheetId="25" hidden="1">#REF!</definedName>
    <definedName name="__123Graph_F" localSheetId="27" hidden="1">#REF!</definedName>
    <definedName name="__123Graph_F" hidden="1">#REF!</definedName>
    <definedName name="__123Graph_X" localSheetId="25" hidden="1">#REF!</definedName>
    <definedName name="__123Graph_X" localSheetId="27" hidden="1">#REF!</definedName>
    <definedName name="__123Graph_X" hidden="1">#REF!</definedName>
    <definedName name="__123Graph_XCURRENT" localSheetId="25" hidden="1">#REF!</definedName>
    <definedName name="__123Graph_XCURRENT" localSheetId="27" hidden="1">#REF!</definedName>
    <definedName name="__123Graph_XCURRENT" hidden="1">#REF!</definedName>
    <definedName name="__123Graph_XSTNPLF" localSheetId="25" hidden="1">#REF!</definedName>
    <definedName name="__123Graph_XSTNPLF" localSheetId="27" hidden="1">#REF!</definedName>
    <definedName name="__123Graph_XSTNPLF" hidden="1">#REF!</definedName>
    <definedName name="__a65565" localSheetId="25">#REF!</definedName>
    <definedName name="__a65565">#REF!</definedName>
    <definedName name="__Apr02" localSheetId="25">#REF!</definedName>
    <definedName name="__Apr02" localSheetId="27">#REF!</definedName>
    <definedName name="__Apr02">#REF!</definedName>
    <definedName name="__Apr03" localSheetId="25">#REF!</definedName>
    <definedName name="__Apr03" localSheetId="27">#REF!</definedName>
    <definedName name="__Apr03">#REF!</definedName>
    <definedName name="__Apr04" localSheetId="27">#REF!</definedName>
    <definedName name="__Apr04">#REF!</definedName>
    <definedName name="__Apr05" localSheetId="27">#REF!</definedName>
    <definedName name="__Apr05">#REF!</definedName>
    <definedName name="__Apr06" localSheetId="27">#REF!</definedName>
    <definedName name="__Apr06">#REF!</definedName>
    <definedName name="__Apr07" localSheetId="27">#REF!</definedName>
    <definedName name="__Apr07">#REF!</definedName>
    <definedName name="__Apr08" localSheetId="27">#REF!</definedName>
    <definedName name="__Apr08">#REF!</definedName>
    <definedName name="__Apr09" localSheetId="27">#REF!</definedName>
    <definedName name="__Apr09">#REF!</definedName>
    <definedName name="__Apr10" localSheetId="27">#REF!</definedName>
    <definedName name="__Apr10">#REF!</definedName>
    <definedName name="__Apr11" localSheetId="27">#REF!</definedName>
    <definedName name="__Apr11">#REF!</definedName>
    <definedName name="__Apr13" localSheetId="27">#REF!</definedName>
    <definedName name="__Apr13">#REF!</definedName>
    <definedName name="__Apr14" localSheetId="27">#REF!</definedName>
    <definedName name="__Apr14">#REF!</definedName>
    <definedName name="__Apr15" localSheetId="27">#REF!</definedName>
    <definedName name="__Apr15">#REF!</definedName>
    <definedName name="__Apr16" localSheetId="27">#REF!</definedName>
    <definedName name="__Apr16">#REF!</definedName>
    <definedName name="__Apr17" localSheetId="27">#REF!</definedName>
    <definedName name="__Apr17">#REF!</definedName>
    <definedName name="__Apr20" localSheetId="27">#REF!</definedName>
    <definedName name="__Apr20">#REF!</definedName>
    <definedName name="__Apr21" localSheetId="27">#REF!</definedName>
    <definedName name="__Apr21">#REF!</definedName>
    <definedName name="__Apr22" localSheetId="27">#REF!</definedName>
    <definedName name="__Apr22">#REF!</definedName>
    <definedName name="__Apr23" localSheetId="27">#REF!</definedName>
    <definedName name="__Apr23">#REF!</definedName>
    <definedName name="__Apr24" localSheetId="27">#REF!</definedName>
    <definedName name="__Apr24">#REF!</definedName>
    <definedName name="__Apr27" localSheetId="27">#REF!</definedName>
    <definedName name="__Apr27">#REF!</definedName>
    <definedName name="__Apr28" localSheetId="27">#REF!</definedName>
    <definedName name="__Apr28">#REF!</definedName>
    <definedName name="__Apr29" localSheetId="27">#REF!</definedName>
    <definedName name="__Apr29">#REF!</definedName>
    <definedName name="__Apr30" localSheetId="27">#REF!</definedName>
    <definedName name="__Apr30">#REF!</definedName>
    <definedName name="_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b65555" localSheetId="25">#REF!</definedName>
    <definedName name="__b65555">#REF!</definedName>
    <definedName name="__BS1" localSheetId="25">#REF!</definedName>
    <definedName name="__BS1">#REF!</definedName>
    <definedName name="__BSD1" localSheetId="29">#REF!</definedName>
    <definedName name="__BSD1" localSheetId="35">#REF!</definedName>
    <definedName name="__BSD1" localSheetId="23">#REF!</definedName>
    <definedName name="__BSD1" localSheetId="25">#REF!</definedName>
    <definedName name="__BSD1" localSheetId="27">#REF!</definedName>
    <definedName name="__BSD1" localSheetId="57">#REF!</definedName>
    <definedName name="__BSD1">#REF!</definedName>
    <definedName name="__BSD2" localSheetId="29">#REF!</definedName>
    <definedName name="__BSD2" localSheetId="23">#REF!</definedName>
    <definedName name="__BSD2" localSheetId="25">#REF!</definedName>
    <definedName name="__BSD2" localSheetId="27">#REF!</definedName>
    <definedName name="__BSD2">#REF!</definedName>
    <definedName name="__CZ1" localSheetId="27">#REF!</definedName>
    <definedName name="__CZ1">#REF!</definedName>
    <definedName name="__DAT1" localSheetId="15">#REF!</definedName>
    <definedName name="__DAT1" localSheetId="29">#REF!</definedName>
    <definedName name="__DAT1" localSheetId="23">#REF!</definedName>
    <definedName name="__DAT1" localSheetId="25">#REF!</definedName>
    <definedName name="__DAT1" localSheetId="27">#REF!</definedName>
    <definedName name="__DAT1" localSheetId="56">#REF!</definedName>
    <definedName name="__DAT1">#REF!</definedName>
    <definedName name="__DAT10" localSheetId="15">#REF!</definedName>
    <definedName name="__DAT10" localSheetId="27">#REF!</definedName>
    <definedName name="__DAT10" localSheetId="56">#REF!</definedName>
    <definedName name="__DAT10">#REF!</definedName>
    <definedName name="__DAT11" localSheetId="15">#REF!</definedName>
    <definedName name="__DAT11" localSheetId="27">#REF!</definedName>
    <definedName name="__DAT11" localSheetId="56">#REF!</definedName>
    <definedName name="__DAT11">#REF!</definedName>
    <definedName name="__DAT12" localSheetId="27">#REF!</definedName>
    <definedName name="__DAT12">#REF!</definedName>
    <definedName name="__DAT13" localSheetId="27">#REF!</definedName>
    <definedName name="__DAT13">#REF!</definedName>
    <definedName name="__DAT14" localSheetId="27">#REF!</definedName>
    <definedName name="__DAT14">#REF!</definedName>
    <definedName name="__DAT15" localSheetId="27">#REF!</definedName>
    <definedName name="__DAT15">#REF!</definedName>
    <definedName name="__DAT16" localSheetId="27">#REF!</definedName>
    <definedName name="__DAT16">#REF!</definedName>
    <definedName name="__DAT17" localSheetId="27">#REF!</definedName>
    <definedName name="__DAT17">#REF!</definedName>
    <definedName name="__DAT18" localSheetId="27">#REF!</definedName>
    <definedName name="__DAT18">#REF!</definedName>
    <definedName name="__DAT19" localSheetId="27">#REF!</definedName>
    <definedName name="__DAT19">#REF!</definedName>
    <definedName name="__DAT2" localSheetId="27">#REF!</definedName>
    <definedName name="__DAT2">#REF!</definedName>
    <definedName name="__DAT20" localSheetId="27">#REF!</definedName>
    <definedName name="__DAT20">#REF!</definedName>
    <definedName name="__DAT21" localSheetId="27">#REF!</definedName>
    <definedName name="__DAT21">#REF!</definedName>
    <definedName name="__DAT22" localSheetId="27">#REF!</definedName>
    <definedName name="__DAT22">#REF!</definedName>
    <definedName name="__DAT23" localSheetId="27">#REF!</definedName>
    <definedName name="__DAT23">#REF!</definedName>
    <definedName name="__DAT24" localSheetId="27">#REF!</definedName>
    <definedName name="__DAT24">#REF!</definedName>
    <definedName name="__DAT25" localSheetId="27">#REF!</definedName>
    <definedName name="__DAT25">#REF!</definedName>
    <definedName name="__DAT26" localSheetId="27">#REF!</definedName>
    <definedName name="__DAT26">#REF!</definedName>
    <definedName name="__DAT27" localSheetId="27">#REF!</definedName>
    <definedName name="__DAT27">#REF!</definedName>
    <definedName name="__DAT28" localSheetId="27">#REF!</definedName>
    <definedName name="__DAT28">#REF!</definedName>
    <definedName name="__DAT29" localSheetId="27">#REF!</definedName>
    <definedName name="__DAT29">#REF!</definedName>
    <definedName name="__DAT3" localSheetId="27">#REF!</definedName>
    <definedName name="__DAT3">#REF!</definedName>
    <definedName name="__DAT30" localSheetId="27">#REF!</definedName>
    <definedName name="__DAT30">#REF!</definedName>
    <definedName name="__DAT31" localSheetId="27">#REF!</definedName>
    <definedName name="__DAT31">#REF!</definedName>
    <definedName name="__DAT32" localSheetId="27">#REF!</definedName>
    <definedName name="__DAT32">#REF!</definedName>
    <definedName name="__DAT33" localSheetId="27">#REF!</definedName>
    <definedName name="__DAT33">#REF!</definedName>
    <definedName name="__DAT34" localSheetId="27">#REF!</definedName>
    <definedName name="__DAT34">#REF!</definedName>
    <definedName name="__DAT35" localSheetId="27">#REF!</definedName>
    <definedName name="__DAT35">#REF!</definedName>
    <definedName name="__DAT36" localSheetId="27">#REF!</definedName>
    <definedName name="__DAT36">#REF!</definedName>
    <definedName name="__DAT37" localSheetId="27">#REF!</definedName>
    <definedName name="__DAT37">#REF!</definedName>
    <definedName name="__DAT38" localSheetId="27">#REF!</definedName>
    <definedName name="__DAT38">#REF!</definedName>
    <definedName name="__DAT39" localSheetId="27">#REF!</definedName>
    <definedName name="__DAT39">#REF!</definedName>
    <definedName name="__DAT4" localSheetId="27">#REF!</definedName>
    <definedName name="__DAT4">#REF!</definedName>
    <definedName name="__DAT40" localSheetId="27">#REF!</definedName>
    <definedName name="__DAT40">#REF!</definedName>
    <definedName name="__DAT41" localSheetId="27">#REF!</definedName>
    <definedName name="__DAT41">#REF!</definedName>
    <definedName name="__DAT42" localSheetId="27">#REF!</definedName>
    <definedName name="__DAT42">#REF!</definedName>
    <definedName name="__DAT43" localSheetId="27">#REF!</definedName>
    <definedName name="__DAT43">#REF!</definedName>
    <definedName name="__DAT44" localSheetId="27">#REF!</definedName>
    <definedName name="__DAT44">#REF!</definedName>
    <definedName name="__DAT45" localSheetId="27">#REF!</definedName>
    <definedName name="__DAT45">#REF!</definedName>
    <definedName name="__DAT46" localSheetId="27">#REF!</definedName>
    <definedName name="__DAT46">#REF!</definedName>
    <definedName name="__DAT47" localSheetId="27">#REF!</definedName>
    <definedName name="__DAT47">#REF!</definedName>
    <definedName name="__DAT48" localSheetId="27">#REF!</definedName>
    <definedName name="__DAT48">#REF!</definedName>
    <definedName name="__DAT49" localSheetId="27">#REF!</definedName>
    <definedName name="__DAT49">#REF!</definedName>
    <definedName name="__DAT5" localSheetId="27">#REF!</definedName>
    <definedName name="__DAT5">#REF!</definedName>
    <definedName name="__DAT50" localSheetId="27">#REF!</definedName>
    <definedName name="__DAT50">#REF!</definedName>
    <definedName name="__DAT51" localSheetId="27">#REF!</definedName>
    <definedName name="__DAT51">#REF!</definedName>
    <definedName name="__DAT52" localSheetId="27">#REF!</definedName>
    <definedName name="__DAT52">#REF!</definedName>
    <definedName name="__DAT53" localSheetId="27">#REF!</definedName>
    <definedName name="__DAT53">#REF!</definedName>
    <definedName name="__DAT54" localSheetId="27">#REF!</definedName>
    <definedName name="__DAT54">#REF!</definedName>
    <definedName name="__DAT55" localSheetId="27">#REF!</definedName>
    <definedName name="__DAT55">#REF!</definedName>
    <definedName name="__DAT56" localSheetId="27">#REF!</definedName>
    <definedName name="__DAT56">#REF!</definedName>
    <definedName name="__DAT57" localSheetId="27">#REF!</definedName>
    <definedName name="__DAT57">#REF!</definedName>
    <definedName name="__DAT58" localSheetId="27">#REF!</definedName>
    <definedName name="__DAT58">#REF!</definedName>
    <definedName name="__DAT59" localSheetId="27">#REF!</definedName>
    <definedName name="__DAT59">#REF!</definedName>
    <definedName name="__DAT6" localSheetId="27">#REF!</definedName>
    <definedName name="__DAT6">#REF!</definedName>
    <definedName name="__DAT60" localSheetId="27">#REF!</definedName>
    <definedName name="__DAT60">#REF!</definedName>
    <definedName name="__DAT61" localSheetId="27">#REF!</definedName>
    <definedName name="__DAT61">#REF!</definedName>
    <definedName name="__DAT62" localSheetId="27">#REF!</definedName>
    <definedName name="__DAT62">#REF!</definedName>
    <definedName name="__DAT63" localSheetId="27">#REF!</definedName>
    <definedName name="__DAT63">#REF!</definedName>
    <definedName name="__DAT64" localSheetId="27">#REF!</definedName>
    <definedName name="__DAT64">#REF!</definedName>
    <definedName name="__DAT65" localSheetId="27">#REF!</definedName>
    <definedName name="__DAT65">#REF!</definedName>
    <definedName name="__DAT66" localSheetId="27">#REF!</definedName>
    <definedName name="__DAT66">#REF!</definedName>
    <definedName name="__DAT67" localSheetId="27">#REF!</definedName>
    <definedName name="__DAT67">#REF!</definedName>
    <definedName name="__DAT68" localSheetId="27">#REF!</definedName>
    <definedName name="__DAT68">#REF!</definedName>
    <definedName name="__DAT69" localSheetId="27">#REF!</definedName>
    <definedName name="__DAT69">#REF!</definedName>
    <definedName name="__DAT7" localSheetId="27">#REF!</definedName>
    <definedName name="__DAT7">#REF!</definedName>
    <definedName name="__DAT70" localSheetId="27">#REF!</definedName>
    <definedName name="__DAT70">#REF!</definedName>
    <definedName name="__DAT71" localSheetId="27">#REF!</definedName>
    <definedName name="__DAT71">#REF!</definedName>
    <definedName name="__DAT72" localSheetId="27">#REF!</definedName>
    <definedName name="__DAT72">#REF!</definedName>
    <definedName name="__DAT73" localSheetId="27">#REF!</definedName>
    <definedName name="__DAT73">#REF!</definedName>
    <definedName name="__DAT74" localSheetId="27">#REF!</definedName>
    <definedName name="__DAT74">#REF!</definedName>
    <definedName name="__DAT75" localSheetId="27">#REF!</definedName>
    <definedName name="__DAT75">#REF!</definedName>
    <definedName name="__DAT76" localSheetId="27">#REF!</definedName>
    <definedName name="__DAT76">#REF!</definedName>
    <definedName name="__DAT77" localSheetId="27">#REF!</definedName>
    <definedName name="__DAT77">#REF!</definedName>
    <definedName name="__DAT78" localSheetId="27">#REF!</definedName>
    <definedName name="__DAT78">#REF!</definedName>
    <definedName name="__DAT79" localSheetId="27">#REF!</definedName>
    <definedName name="__DAT79">#REF!</definedName>
    <definedName name="__DAT8" localSheetId="27">#REF!</definedName>
    <definedName name="__DAT8">#REF!</definedName>
    <definedName name="__DAT80" localSheetId="27">#REF!</definedName>
    <definedName name="__DAT80">#REF!</definedName>
    <definedName name="__DAT81" localSheetId="27">#REF!</definedName>
    <definedName name="__DAT81">#REF!</definedName>
    <definedName name="__DAT82" localSheetId="27">#REF!</definedName>
    <definedName name="__DAT82">#REF!</definedName>
    <definedName name="__DAT83" localSheetId="27">#REF!</definedName>
    <definedName name="__DAT83">#REF!</definedName>
    <definedName name="__DAT84" localSheetId="27">#REF!</definedName>
    <definedName name="__DAT84">#REF!</definedName>
    <definedName name="__DAT85" localSheetId="27">#REF!</definedName>
    <definedName name="__DAT85">#REF!</definedName>
    <definedName name="__DAT86" localSheetId="27">#REF!</definedName>
    <definedName name="__DAT86">#REF!</definedName>
    <definedName name="__DAT87" localSheetId="27">#REF!</definedName>
    <definedName name="__DAT87">#REF!</definedName>
    <definedName name="__DAT9" localSheetId="27">#REF!</definedName>
    <definedName name="__DAT9">#REF!</definedName>
    <definedName name="__FC1" localSheetId="25">#REF!</definedName>
    <definedName name="__FC1" localSheetId="27">#REF!</definedName>
    <definedName name="__FC1">#REF!</definedName>
    <definedName name="__IED1" localSheetId="29">#REF!</definedName>
    <definedName name="__IED1" localSheetId="35">#REF!</definedName>
    <definedName name="__IED1" localSheetId="23">#REF!</definedName>
    <definedName name="__IED1" localSheetId="25">#REF!</definedName>
    <definedName name="__IED1" localSheetId="27">#REF!</definedName>
    <definedName name="__IED1" localSheetId="57">#REF!</definedName>
    <definedName name="__IED1">#REF!</definedName>
    <definedName name="__IED2" localSheetId="29">#REF!</definedName>
    <definedName name="__IED2" localSheetId="23">#REF!</definedName>
    <definedName name="__IED2" localSheetId="25">#REF!</definedName>
    <definedName name="__IED2" localSheetId="27">#REF!</definedName>
    <definedName name="__IED2">#REF!</definedName>
    <definedName name="_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LD1" localSheetId="25">#REF!</definedName>
    <definedName name="__LD1" localSheetId="27">#REF!</definedName>
    <definedName name="__LD1">#REF!</definedName>
    <definedName name="__LD2" localSheetId="25">#REF!</definedName>
    <definedName name="__LD2" localSheetId="27">#REF!</definedName>
    <definedName name="__LD2">#REF!</definedName>
    <definedName name="__LD3" localSheetId="25">#REF!</definedName>
    <definedName name="__LD3" localSheetId="27">#REF!</definedName>
    <definedName name="__LD3">#REF!</definedName>
    <definedName name="__LD4" localSheetId="27">#REF!</definedName>
    <definedName name="__LD4">#REF!</definedName>
    <definedName name="__LD5" localSheetId="27">#REF!</definedName>
    <definedName name="__LD5">#REF!</definedName>
    <definedName name="__LD6" localSheetId="27">#REF!</definedName>
    <definedName name="__LD6">#REF!</definedName>
    <definedName name="__LR1" localSheetId="27">#REF!</definedName>
    <definedName name="__LR1">#REF!</definedName>
    <definedName name="__LR2" localSheetId="27">#REF!</definedName>
    <definedName name="__LR2">#REF!</definedName>
    <definedName name="__Mar06" localSheetId="27">#REF!</definedName>
    <definedName name="__Mar06">#REF!</definedName>
    <definedName name="__Mar09" localSheetId="27">#REF!</definedName>
    <definedName name="__Mar09">#REF!</definedName>
    <definedName name="__Mar10" localSheetId="27">#REF!</definedName>
    <definedName name="__Mar10">#REF!</definedName>
    <definedName name="__Mar11" localSheetId="27">#REF!</definedName>
    <definedName name="__Mar11">#REF!</definedName>
    <definedName name="__Mar12" localSheetId="27">#REF!</definedName>
    <definedName name="__Mar12">#REF!</definedName>
    <definedName name="__Mar13" localSheetId="27">#REF!</definedName>
    <definedName name="__Mar13">#REF!</definedName>
    <definedName name="__Mar16" localSheetId="27">#REF!</definedName>
    <definedName name="__Mar16">#REF!</definedName>
    <definedName name="__Mar17" localSheetId="27">#REF!</definedName>
    <definedName name="__Mar17">#REF!</definedName>
    <definedName name="__Mar18" localSheetId="27">#REF!</definedName>
    <definedName name="__Mar18">#REF!</definedName>
    <definedName name="__Mar19" localSheetId="27">#REF!</definedName>
    <definedName name="__Mar19">#REF!</definedName>
    <definedName name="__Mar20" localSheetId="27">#REF!</definedName>
    <definedName name="__Mar20">#REF!</definedName>
    <definedName name="__Mar23" localSheetId="27">#REF!</definedName>
    <definedName name="__Mar23">#REF!</definedName>
    <definedName name="__Mar24" localSheetId="27">#REF!</definedName>
    <definedName name="__Mar24">#REF!</definedName>
    <definedName name="__Mar25" localSheetId="27">#REF!</definedName>
    <definedName name="__Mar25">#REF!</definedName>
    <definedName name="__Mar26" localSheetId="27">#REF!</definedName>
    <definedName name="__Mar26">#REF!</definedName>
    <definedName name="__Mar27" localSheetId="27">#REF!</definedName>
    <definedName name="__Mar27">#REF!</definedName>
    <definedName name="__Mar28" localSheetId="27">#REF!</definedName>
    <definedName name="__Mar28">#REF!</definedName>
    <definedName name="__Mar30" localSheetId="27">#REF!</definedName>
    <definedName name="__Mar30">#REF!</definedName>
    <definedName name="__Mar31" localSheetId="27">#REF!</definedName>
    <definedName name="__Mar31">#REF!</definedName>
    <definedName name="__nA34" localSheetId="15">#REF!</definedName>
    <definedName name="__nA34" localSheetId="29">#REF!</definedName>
    <definedName name="__nA34" localSheetId="23">#REF!</definedName>
    <definedName name="__nA34" localSheetId="25">#REF!</definedName>
    <definedName name="__nA34" localSheetId="27">#REF!</definedName>
    <definedName name="__nA34" localSheetId="56">#REF!</definedName>
    <definedName name="__nA34">#REF!</definedName>
    <definedName name="__nA84" localSheetId="15">#REF!</definedName>
    <definedName name="__nA84" localSheetId="29">#REF!</definedName>
    <definedName name="__nA84" localSheetId="23">#REF!</definedName>
    <definedName name="__nA84" localSheetId="25">#REF!</definedName>
    <definedName name="__nA84" localSheetId="27">#REF!</definedName>
    <definedName name="__nA84" localSheetId="56">#REF!</definedName>
    <definedName name="__nA84">#REF!</definedName>
    <definedName name="__NCS111" localSheetId="15">#REF!</definedName>
    <definedName name="__NCS111" localSheetId="35">#REF!</definedName>
    <definedName name="__NCS111" localSheetId="25">#REF!</definedName>
    <definedName name="__NCS111" localSheetId="27">#REF!</definedName>
    <definedName name="__NCS111" localSheetId="56">#REF!</definedName>
    <definedName name="__NCS111" localSheetId="57">#REF!</definedName>
    <definedName name="__NCS111">#REF!</definedName>
    <definedName name="__PH1">#N/A</definedName>
    <definedName name="__PL1" localSheetId="25">#REF!</definedName>
    <definedName name="__PL1">#REF!</definedName>
    <definedName name="__PPC34" localSheetId="25">#REF!</definedName>
    <definedName name="__PPC34" localSheetId="27">#REF!</definedName>
    <definedName name="__PPC34">#REF!</definedName>
    <definedName name="__SCH12" localSheetId="25">#REF!</definedName>
    <definedName name="__SCH12">#REF!</definedName>
    <definedName name="__sch13" localSheetId="25">#REF!</definedName>
    <definedName name="__sch13">#REF!</definedName>
    <definedName name="__SCH5" localSheetId="25">#REF!</definedName>
    <definedName name="__SCH5">#REF!</definedName>
    <definedName name="__SCH6" localSheetId="15">#REF!</definedName>
    <definedName name="__SCH6" localSheetId="35">#REF!</definedName>
    <definedName name="__SCH6" localSheetId="25">#REF!</definedName>
    <definedName name="__SCH6" localSheetId="27">#REF!</definedName>
    <definedName name="__SCH6" localSheetId="56">#REF!</definedName>
    <definedName name="__SCH6" localSheetId="57">#REF!</definedName>
    <definedName name="__SCH6">#REF!</definedName>
    <definedName name="__SH1" localSheetId="25">#REF!</definedName>
    <definedName name="__SH1" localSheetId="27">#REF!</definedName>
    <definedName name="__SH1">#REF!</definedName>
    <definedName name="__SH10" localSheetId="25">#REF!</definedName>
    <definedName name="__SH10" localSheetId="27">#REF!</definedName>
    <definedName name="__SH10">#REF!</definedName>
    <definedName name="__SH11" localSheetId="25">#REF!</definedName>
    <definedName name="__SH11" localSheetId="27">#REF!</definedName>
    <definedName name="__SH11">#REF!</definedName>
    <definedName name="__SH2" localSheetId="27">#REF!</definedName>
    <definedName name="__SH2">#REF!</definedName>
    <definedName name="__SH3" localSheetId="27">#REF!</definedName>
    <definedName name="__SH3">#REF!</definedName>
    <definedName name="__SH4" localSheetId="27">#REF!</definedName>
    <definedName name="__SH4">#REF!</definedName>
    <definedName name="__SH5" localSheetId="27">#REF!</definedName>
    <definedName name="__SH5">#REF!</definedName>
    <definedName name="__SH6" localSheetId="27">#REF!</definedName>
    <definedName name="__SH6">#REF!</definedName>
    <definedName name="__SH7" localSheetId="27">#REF!</definedName>
    <definedName name="__SH7">#REF!</definedName>
    <definedName name="__SH8" localSheetId="27">#REF!</definedName>
    <definedName name="__SH8">#REF!</definedName>
    <definedName name="__SH9" localSheetId="27">#REF!</definedName>
    <definedName name="__SH9">#REF!</definedName>
    <definedName name="__SRT56" localSheetId="15">#REF!</definedName>
    <definedName name="__SRT56" localSheetId="29">#REF!</definedName>
    <definedName name="__SRT56" localSheetId="35">#REF!</definedName>
    <definedName name="__SRT56" localSheetId="23">#REF!</definedName>
    <definedName name="__SRT56" localSheetId="25">#REF!</definedName>
    <definedName name="__SRT56" localSheetId="27">#REF!</definedName>
    <definedName name="__SRT56" localSheetId="56">#REF!</definedName>
    <definedName name="__SRT56" localSheetId="57">#REF!</definedName>
    <definedName name="__SRT56">#REF!</definedName>
    <definedName name="__TRP3" localSheetId="15">#REF!</definedName>
    <definedName name="__TRP3" localSheetId="29">#REF!</definedName>
    <definedName name="__TRP3" localSheetId="23">#REF!</definedName>
    <definedName name="__TRP3" localSheetId="25">#REF!</definedName>
    <definedName name="__TRP3" localSheetId="27">#REF!</definedName>
    <definedName name="__TRP3" localSheetId="56">#REF!</definedName>
    <definedName name="__TRP3">#REF!</definedName>
    <definedName name="__TRU3" localSheetId="15" hidden="1">#REF!</definedName>
    <definedName name="__TRU3" localSheetId="29" hidden="1">#REF!</definedName>
    <definedName name="__TRU3" localSheetId="23" hidden="1">#REF!</definedName>
    <definedName name="__TRU3" localSheetId="25" hidden="1">#REF!</definedName>
    <definedName name="__TRU3" localSheetId="27" hidden="1">#REF!</definedName>
    <definedName name="__TRU3" localSheetId="56" hidden="1">#REF!</definedName>
    <definedName name="__TRU3" hidden="1">#REF!</definedName>
    <definedName name="__xlfn.BAHTTEXT" hidden="1">#NAME?</definedName>
    <definedName name="_1___123Graph_AI_II_PLF" localSheetId="25" hidden="1">#REF!</definedName>
    <definedName name="_1___123Graph_AI_II_PLF" localSheetId="27" hidden="1">#REF!</definedName>
    <definedName name="_1___123Graph_AI_II_PLF" hidden="1">#REF!</definedName>
    <definedName name="_10GOTO_I_A1" localSheetId="25">#REF!</definedName>
    <definedName name="_10GOTO_I_A1">#REF!</definedName>
    <definedName name="_11GOTO_J_A1" localSheetId="25">#REF!</definedName>
    <definedName name="_11GOTO_J_A1">#REF!</definedName>
    <definedName name="_12GOTO_K_A30" localSheetId="25">#REF!</definedName>
    <definedName name="_12GOTO_K_A30">#REF!</definedName>
    <definedName name="_16GOTO_B_A1">#REF!</definedName>
    <definedName name="_1GOTO_A_A207">#REF!</definedName>
    <definedName name="_2___123Graph_BI_II_PLF" localSheetId="25" hidden="1">#REF!</definedName>
    <definedName name="_2___123Graph_BI_II_PLF" localSheetId="27" hidden="1">#REF!</definedName>
    <definedName name="_2___123Graph_BI_II_PLF" hidden="1">#REF!</definedName>
    <definedName name="_20GOTO_B_A189" localSheetId="25">#REF!</definedName>
    <definedName name="_20GOTO_B_A189">#REF!</definedName>
    <definedName name="_24GOTO_B_A536" localSheetId="25">#REF!</definedName>
    <definedName name="_24GOTO_B_A536">#REF!</definedName>
    <definedName name="_28GOTO_C_A1" localSheetId="25">#REF!</definedName>
    <definedName name="_28GOTO_C_A1">#REF!</definedName>
    <definedName name="_2GOTO_A_A501">#REF!</definedName>
    <definedName name="_3___123Graph_CI_II_PLF" localSheetId="25" hidden="1">#REF!</definedName>
    <definedName name="_3___123Graph_CI_II_PLF" localSheetId="27" hidden="1">#REF!</definedName>
    <definedName name="_3___123Graph_CI_II_PLF" hidden="1">#REF!</definedName>
    <definedName name="_32GOTO_E_A1" localSheetId="25">#REF!</definedName>
    <definedName name="_32GOTO_E_A1">#REF!</definedName>
    <definedName name="_36GOTO_G_A1" localSheetId="25">#REF!</definedName>
    <definedName name="_36GOTO_G_A1">#REF!</definedName>
    <definedName name="_3GOTO_A_A952" localSheetId="25">#REF!</definedName>
    <definedName name="_3GOTO_A_A952">#REF!</definedName>
    <definedName name="_4___123Graph_XI_II_PLF" localSheetId="25" hidden="1">#REF!</definedName>
    <definedName name="_4___123Graph_XI_II_PLF" localSheetId="27" hidden="1">#REF!</definedName>
    <definedName name="_4___123Graph_XI_II_PLF" hidden="1">#REF!</definedName>
    <definedName name="_40GOTO_I_A1" localSheetId="25">#REF!</definedName>
    <definedName name="_40GOTO_I_A1">#REF!</definedName>
    <definedName name="_44GOTO_J_A1" localSheetId="25">#REF!</definedName>
    <definedName name="_44GOTO_J_A1">#REF!</definedName>
    <definedName name="_48GOTO_K_A30" localSheetId="25">#REF!</definedName>
    <definedName name="_48GOTO_K_A30">#REF!</definedName>
    <definedName name="_4GOTO_A_A207">#REF!</definedName>
    <definedName name="_4GOTO_B_A1">#REF!</definedName>
    <definedName name="_5__123Graph_AI_II_PLF" localSheetId="25" hidden="1">#REF!</definedName>
    <definedName name="_5__123Graph_AI_II_PLF" localSheetId="27" hidden="1">#REF!</definedName>
    <definedName name="_5__123Graph_AI_II_PLF" hidden="1">#REF!</definedName>
    <definedName name="_5GOTO_B_A189" localSheetId="25">#REF!</definedName>
    <definedName name="_5GOTO_B_A189">#REF!</definedName>
    <definedName name="_6__123Graph_BI_II_PLF" localSheetId="25" hidden="1">#REF!</definedName>
    <definedName name="_6__123Graph_BI_II_PLF" localSheetId="27" hidden="1">#REF!</definedName>
    <definedName name="_6__123Graph_BI_II_PLF" hidden="1">#REF!</definedName>
    <definedName name="_6GOTO_B_A536" localSheetId="25">#REF!</definedName>
    <definedName name="_6GOTO_B_A536">#REF!</definedName>
    <definedName name="_7__123Graph_CI_II_PLF" localSheetId="25" hidden="1">#REF!</definedName>
    <definedName name="_7__123Graph_CI_II_PLF" localSheetId="27" hidden="1">#REF!</definedName>
    <definedName name="_7__123Graph_CI_II_PLF" hidden="1">#REF!</definedName>
    <definedName name="_7GOTO_C_A1" localSheetId="25">#REF!</definedName>
    <definedName name="_7GOTO_C_A1">#REF!</definedName>
    <definedName name="_8__123Graph_XI_II_PLF" localSheetId="25" hidden="1">#REF!</definedName>
    <definedName name="_8__123Graph_XI_II_PLF" localSheetId="27" hidden="1">#REF!</definedName>
    <definedName name="_8__123Graph_XI_II_PLF" hidden="1">#REF!</definedName>
    <definedName name="_8485G" localSheetId="25">#REF!</definedName>
    <definedName name="_8485G" localSheetId="27">#REF!</definedName>
    <definedName name="_8485G">#REF!</definedName>
    <definedName name="_8GOTO_A_A501" localSheetId="25">#REF!</definedName>
    <definedName name="_8GOTO_A_A501">#REF!</definedName>
    <definedName name="_8GOTO_E_A1" localSheetId="25">#REF!</definedName>
    <definedName name="_8GOTO_E_A1">#REF!</definedName>
    <definedName name="_9GOTO_G_A1">#REF!</definedName>
    <definedName name="_a65565">#REF!</definedName>
    <definedName name="_Apr02" localSheetId="27">#REF!</definedName>
    <definedName name="_Apr02">#REF!</definedName>
    <definedName name="_Apr03" localSheetId="27">#REF!</definedName>
    <definedName name="_Apr03">#REF!</definedName>
    <definedName name="_Apr04" localSheetId="27">#REF!</definedName>
    <definedName name="_Apr04">#REF!</definedName>
    <definedName name="_Apr05" localSheetId="27">#REF!</definedName>
    <definedName name="_Apr05">#REF!</definedName>
    <definedName name="_Apr06" localSheetId="27">#REF!</definedName>
    <definedName name="_Apr06">#REF!</definedName>
    <definedName name="_Apr07" localSheetId="27">#REF!</definedName>
    <definedName name="_Apr07">#REF!</definedName>
    <definedName name="_Apr08" localSheetId="27">#REF!</definedName>
    <definedName name="_Apr08">#REF!</definedName>
    <definedName name="_Apr09" localSheetId="27">#REF!</definedName>
    <definedName name="_Apr09">#REF!</definedName>
    <definedName name="_Apr10" localSheetId="27">#REF!</definedName>
    <definedName name="_Apr10">#REF!</definedName>
    <definedName name="_Apr11" localSheetId="27">#REF!</definedName>
    <definedName name="_Apr11">#REF!</definedName>
    <definedName name="_Apr13" localSheetId="27">#REF!</definedName>
    <definedName name="_Apr13">#REF!</definedName>
    <definedName name="_Apr14" localSheetId="27">#REF!</definedName>
    <definedName name="_Apr14">#REF!</definedName>
    <definedName name="_Apr15" localSheetId="27">#REF!</definedName>
    <definedName name="_Apr15">#REF!</definedName>
    <definedName name="_Apr16" localSheetId="27">#REF!</definedName>
    <definedName name="_Apr16">#REF!</definedName>
    <definedName name="_Apr17" localSheetId="27">#REF!</definedName>
    <definedName name="_Apr17">#REF!</definedName>
    <definedName name="_Apr20" localSheetId="27">#REF!</definedName>
    <definedName name="_Apr20">#REF!</definedName>
    <definedName name="_Apr21" localSheetId="27">#REF!</definedName>
    <definedName name="_Apr21">#REF!</definedName>
    <definedName name="_Apr22" localSheetId="27">#REF!</definedName>
    <definedName name="_Apr22">#REF!</definedName>
    <definedName name="_Apr23" localSheetId="27">#REF!</definedName>
    <definedName name="_Apr23">#REF!</definedName>
    <definedName name="_Apr24" localSheetId="27">#REF!</definedName>
    <definedName name="_Apr24">#REF!</definedName>
    <definedName name="_Apr27" localSheetId="27">#REF!</definedName>
    <definedName name="_Apr27">#REF!</definedName>
    <definedName name="_Apr28" localSheetId="27">#REF!</definedName>
    <definedName name="_Apr28">#REF!</definedName>
    <definedName name="_Apr29" localSheetId="27">#REF!</definedName>
    <definedName name="_Apr29">#REF!</definedName>
    <definedName name="_Apr30" localSheetId="27">#REF!</definedName>
    <definedName name="_Apr30">#REF!</definedName>
    <definedName name="_arr2"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arr2"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b65555" localSheetId="25">#REF!</definedName>
    <definedName name="_b65555">#REF!</definedName>
    <definedName name="_BS1" localSheetId="25">#REF!</definedName>
    <definedName name="_BS1">#REF!</definedName>
    <definedName name="_BSD1" localSheetId="25">#REF!</definedName>
    <definedName name="_BSD1" localSheetId="27">#REF!</definedName>
    <definedName name="_BSD1">#REF!</definedName>
    <definedName name="_BSD2" localSheetId="25">#REF!</definedName>
    <definedName name="_BSD2" localSheetId="27">#REF!</definedName>
    <definedName name="_BSD2">#REF!</definedName>
    <definedName name="_CZ1" localSheetId="27">#REF!</definedName>
    <definedName name="_CZ1">#REF!</definedName>
    <definedName name="_DAT1" localSheetId="25">#REF!</definedName>
    <definedName name="_DAT1" localSheetId="27">#REF!</definedName>
    <definedName name="_DAT1">#REF!</definedName>
    <definedName name="_DAT10" localSheetId="27">#REF!</definedName>
    <definedName name="_DAT10">#REF!</definedName>
    <definedName name="_DAT11" localSheetId="27">#REF!</definedName>
    <definedName name="_DAT11">#REF!</definedName>
    <definedName name="_DAT12" localSheetId="27">#REF!</definedName>
    <definedName name="_DAT12">#REF!</definedName>
    <definedName name="_DAT13" localSheetId="27">#REF!</definedName>
    <definedName name="_DAT13">#REF!</definedName>
    <definedName name="_DAT14" localSheetId="27">#REF!</definedName>
    <definedName name="_DAT14">#REF!</definedName>
    <definedName name="_DAT15" localSheetId="27">#REF!</definedName>
    <definedName name="_DAT15">#REF!</definedName>
    <definedName name="_DAT16" localSheetId="27">#REF!</definedName>
    <definedName name="_DAT16">#REF!</definedName>
    <definedName name="_DAT17" localSheetId="27">#REF!</definedName>
    <definedName name="_DAT17">#REF!</definedName>
    <definedName name="_DAT18" localSheetId="27">#REF!</definedName>
    <definedName name="_DAT18">#REF!</definedName>
    <definedName name="_DAT19" localSheetId="27">#REF!</definedName>
    <definedName name="_DAT19">#REF!</definedName>
    <definedName name="_DAT2" localSheetId="27">#REF!</definedName>
    <definedName name="_DAT2">#REF!</definedName>
    <definedName name="_DAT20" localSheetId="27">#REF!</definedName>
    <definedName name="_DAT20">#REF!</definedName>
    <definedName name="_DAT21" localSheetId="27">#REF!</definedName>
    <definedName name="_DAT21">#REF!</definedName>
    <definedName name="_DAT22" localSheetId="27">#REF!</definedName>
    <definedName name="_DAT22">#REF!</definedName>
    <definedName name="_DAT23" localSheetId="27">#REF!</definedName>
    <definedName name="_DAT23">#REF!</definedName>
    <definedName name="_DAT24" localSheetId="27">#REF!</definedName>
    <definedName name="_DAT24">#REF!</definedName>
    <definedName name="_DAT25" localSheetId="27">#REF!</definedName>
    <definedName name="_DAT25">#REF!</definedName>
    <definedName name="_DAT26" localSheetId="27">#REF!</definedName>
    <definedName name="_DAT26">#REF!</definedName>
    <definedName name="_DAT27" localSheetId="27">#REF!</definedName>
    <definedName name="_DAT27">#REF!</definedName>
    <definedName name="_DAT28" localSheetId="27">#REF!</definedName>
    <definedName name="_DAT28">#REF!</definedName>
    <definedName name="_DAT29" localSheetId="27">#REF!</definedName>
    <definedName name="_DAT29">#REF!</definedName>
    <definedName name="_DAT3" localSheetId="27">#REF!</definedName>
    <definedName name="_DAT3">#REF!</definedName>
    <definedName name="_DAT30" localSheetId="27">#REF!</definedName>
    <definedName name="_DAT30">#REF!</definedName>
    <definedName name="_DAT31" localSheetId="27">#REF!</definedName>
    <definedName name="_DAT31">#REF!</definedName>
    <definedName name="_DAT32" localSheetId="27">#REF!</definedName>
    <definedName name="_DAT32">#REF!</definedName>
    <definedName name="_DAT33" localSheetId="27">#REF!</definedName>
    <definedName name="_DAT33">#REF!</definedName>
    <definedName name="_DAT34" localSheetId="27">#REF!</definedName>
    <definedName name="_DAT34">#REF!</definedName>
    <definedName name="_DAT35" localSheetId="27">#REF!</definedName>
    <definedName name="_DAT35">#REF!</definedName>
    <definedName name="_DAT36" localSheetId="27">#REF!</definedName>
    <definedName name="_DAT36">#REF!</definedName>
    <definedName name="_DAT37" localSheetId="27">#REF!</definedName>
    <definedName name="_DAT37">#REF!</definedName>
    <definedName name="_DAT38" localSheetId="27">#REF!</definedName>
    <definedName name="_DAT38">#REF!</definedName>
    <definedName name="_DAT39" localSheetId="27">#REF!</definedName>
    <definedName name="_DAT39">#REF!</definedName>
    <definedName name="_DAT4" localSheetId="27">#REF!</definedName>
    <definedName name="_DAT4">#REF!</definedName>
    <definedName name="_DAT40" localSheetId="27">#REF!</definedName>
    <definedName name="_DAT40">#REF!</definedName>
    <definedName name="_DAT41" localSheetId="27">#REF!</definedName>
    <definedName name="_DAT41">#REF!</definedName>
    <definedName name="_DAT42" localSheetId="27">#REF!</definedName>
    <definedName name="_DAT42">#REF!</definedName>
    <definedName name="_DAT43" localSheetId="27">#REF!</definedName>
    <definedName name="_DAT43">#REF!</definedName>
    <definedName name="_DAT44" localSheetId="27">#REF!</definedName>
    <definedName name="_DAT44">#REF!</definedName>
    <definedName name="_DAT45" localSheetId="27">#REF!</definedName>
    <definedName name="_DAT45">#REF!</definedName>
    <definedName name="_DAT46" localSheetId="27">#REF!</definedName>
    <definedName name="_DAT46">#REF!</definedName>
    <definedName name="_DAT47" localSheetId="27">#REF!</definedName>
    <definedName name="_DAT47">#REF!</definedName>
    <definedName name="_DAT48" localSheetId="27">#REF!</definedName>
    <definedName name="_DAT48">#REF!</definedName>
    <definedName name="_DAT49" localSheetId="27">#REF!</definedName>
    <definedName name="_DAT49">#REF!</definedName>
    <definedName name="_DAT5" localSheetId="27">#REF!</definedName>
    <definedName name="_DAT5">#REF!</definedName>
    <definedName name="_DAT50" localSheetId="27">#REF!</definedName>
    <definedName name="_DAT50">#REF!</definedName>
    <definedName name="_DAT51" localSheetId="27">#REF!</definedName>
    <definedName name="_DAT51">#REF!</definedName>
    <definedName name="_DAT52" localSheetId="27">#REF!</definedName>
    <definedName name="_DAT52">#REF!</definedName>
    <definedName name="_DAT53" localSheetId="27">#REF!</definedName>
    <definedName name="_DAT53">#REF!</definedName>
    <definedName name="_DAT54" localSheetId="27">#REF!</definedName>
    <definedName name="_DAT54">#REF!</definedName>
    <definedName name="_DAT55" localSheetId="27">#REF!</definedName>
    <definedName name="_DAT55">#REF!</definedName>
    <definedName name="_DAT56" localSheetId="27">#REF!</definedName>
    <definedName name="_DAT56">#REF!</definedName>
    <definedName name="_DAT57" localSheetId="27">#REF!</definedName>
    <definedName name="_DAT57">#REF!</definedName>
    <definedName name="_DAT58" localSheetId="27">#REF!</definedName>
    <definedName name="_DAT58">#REF!</definedName>
    <definedName name="_DAT59" localSheetId="27">#REF!</definedName>
    <definedName name="_DAT59">#REF!</definedName>
    <definedName name="_DAT6" localSheetId="27">#REF!</definedName>
    <definedName name="_DAT6">#REF!</definedName>
    <definedName name="_DAT60" localSheetId="27">#REF!</definedName>
    <definedName name="_DAT60">#REF!</definedName>
    <definedName name="_DAT61" localSheetId="27">#REF!</definedName>
    <definedName name="_DAT61">#REF!</definedName>
    <definedName name="_DAT62" localSheetId="27">#REF!</definedName>
    <definedName name="_DAT62">#REF!</definedName>
    <definedName name="_DAT63" localSheetId="27">#REF!</definedName>
    <definedName name="_DAT63">#REF!</definedName>
    <definedName name="_DAT64" localSheetId="27">#REF!</definedName>
    <definedName name="_DAT64">#REF!</definedName>
    <definedName name="_DAT65" localSheetId="27">#REF!</definedName>
    <definedName name="_DAT65">#REF!</definedName>
    <definedName name="_DAT66" localSheetId="27">#REF!</definedName>
    <definedName name="_DAT66">#REF!</definedName>
    <definedName name="_DAT67" localSheetId="27">#REF!</definedName>
    <definedName name="_DAT67">#REF!</definedName>
    <definedName name="_DAT68" localSheetId="27">#REF!</definedName>
    <definedName name="_DAT68">#REF!</definedName>
    <definedName name="_DAT69" localSheetId="27">#REF!</definedName>
    <definedName name="_DAT69">#REF!</definedName>
    <definedName name="_DAT7" localSheetId="27">#REF!</definedName>
    <definedName name="_DAT7">#REF!</definedName>
    <definedName name="_DAT70" localSheetId="27">#REF!</definedName>
    <definedName name="_DAT70">#REF!</definedName>
    <definedName name="_DAT71" localSheetId="27">#REF!</definedName>
    <definedName name="_DAT71">#REF!</definedName>
    <definedName name="_DAT72" localSheetId="27">#REF!</definedName>
    <definedName name="_DAT72">#REF!</definedName>
    <definedName name="_DAT73" localSheetId="27">#REF!</definedName>
    <definedName name="_DAT73">#REF!</definedName>
    <definedName name="_DAT74" localSheetId="27">#REF!</definedName>
    <definedName name="_DAT74">#REF!</definedName>
    <definedName name="_DAT75" localSheetId="27">#REF!</definedName>
    <definedName name="_DAT75">#REF!</definedName>
    <definedName name="_DAT76" localSheetId="27">#REF!</definedName>
    <definedName name="_DAT76">#REF!</definedName>
    <definedName name="_DAT77" localSheetId="27">#REF!</definedName>
    <definedName name="_DAT77">#REF!</definedName>
    <definedName name="_DAT78" localSheetId="27">#REF!</definedName>
    <definedName name="_DAT78">#REF!</definedName>
    <definedName name="_DAT79" localSheetId="27">#REF!</definedName>
    <definedName name="_DAT79">#REF!</definedName>
    <definedName name="_DAT8" localSheetId="27">#REF!</definedName>
    <definedName name="_DAT8">#REF!</definedName>
    <definedName name="_DAT80" localSheetId="27">#REF!</definedName>
    <definedName name="_DAT80">#REF!</definedName>
    <definedName name="_DAT81" localSheetId="27">#REF!</definedName>
    <definedName name="_DAT81">#REF!</definedName>
    <definedName name="_DAT82" localSheetId="27">#REF!</definedName>
    <definedName name="_DAT82">#REF!</definedName>
    <definedName name="_DAT83" localSheetId="27">#REF!</definedName>
    <definedName name="_DAT83">#REF!</definedName>
    <definedName name="_DAT84" localSheetId="27">#REF!</definedName>
    <definedName name="_DAT84">#REF!</definedName>
    <definedName name="_DAT85" localSheetId="27">#REF!</definedName>
    <definedName name="_DAT85">#REF!</definedName>
    <definedName name="_DAT86" localSheetId="27">#REF!</definedName>
    <definedName name="_DAT86">#REF!</definedName>
    <definedName name="_DAT87" localSheetId="27">#REF!</definedName>
    <definedName name="_DAT87">#REF!</definedName>
    <definedName name="_DAT9" localSheetId="27">#REF!</definedName>
    <definedName name="_DAT9">#REF!</definedName>
    <definedName name="_Fba5" localSheetId="25">#REF!</definedName>
    <definedName name="_Fba5" localSheetId="27">#REF!</definedName>
    <definedName name="_Fba5">#REF!</definedName>
    <definedName name="_FC1" localSheetId="25">#REF!</definedName>
    <definedName name="_FC1" localSheetId="27">#REF!</definedName>
    <definedName name="_FC1">#REF!</definedName>
    <definedName name="_Fill" localSheetId="29" hidden="1">#REF!</definedName>
    <definedName name="_Fill" localSheetId="35" hidden="1">#REF!</definedName>
    <definedName name="_Fill" localSheetId="38" hidden="1">#REF!</definedName>
    <definedName name="_Fill" localSheetId="43" hidden="1">#REF!</definedName>
    <definedName name="_Fill" localSheetId="44" hidden="1">#REF!</definedName>
    <definedName name="_Fill" localSheetId="21" hidden="1">#REF!</definedName>
    <definedName name="_Fill" localSheetId="22" hidden="1">#REF!</definedName>
    <definedName name="_Fill" localSheetId="20" hidden="1">#REF!</definedName>
    <definedName name="_Fill" localSheetId="23" hidden="1">#REF!</definedName>
    <definedName name="_Fill" localSheetId="25" hidden="1">#REF!</definedName>
    <definedName name="_Fill" localSheetId="27" hidden="1">#REF!</definedName>
    <definedName name="_Fill" hidden="1">#REF!</definedName>
    <definedName name="_xlnm._FilterDatabase" localSheetId="23" hidden="1">F4_PP_MOD!$A$6:$L$19</definedName>
    <definedName name="_xlnm._FilterDatabase" localSheetId="25" hidden="1">#REF!</definedName>
    <definedName name="_xlnm._FilterDatabase" localSheetId="27" hidden="1">#REF!</definedName>
    <definedName name="_xlnm._FilterDatabase" hidden="1">#REF!</definedName>
    <definedName name="_IED1" localSheetId="29">#REF!</definedName>
    <definedName name="_IED1" localSheetId="35">#REF!</definedName>
    <definedName name="_IED1" localSheetId="23">#REF!</definedName>
    <definedName name="_IED1" localSheetId="25">#REF!</definedName>
    <definedName name="_IED1" localSheetId="27">#REF!</definedName>
    <definedName name="_IED1" localSheetId="57">#REF!</definedName>
    <definedName name="_IED1">#REF!</definedName>
    <definedName name="_IED2" localSheetId="29">#REF!</definedName>
    <definedName name="_IED2" localSheetId="23">#REF!</definedName>
    <definedName name="_IED2" localSheetId="25">#REF!</definedName>
    <definedName name="_IED2" localSheetId="27">#REF!</definedName>
    <definedName name="_IED2">#REF!</definedName>
    <definedName name="_int06"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int06"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KC_2" localSheetId="23">#REF!</definedName>
    <definedName name="_KC_2" localSheetId="25">#REF!</definedName>
    <definedName name="_KC_2" localSheetId="27">#REF!</definedName>
    <definedName name="_KC_2">#REF!</definedName>
    <definedName name="_Key1" localSheetId="25" hidden="1">#REF!</definedName>
    <definedName name="_Key1" localSheetId="27" hidden="1">#REF!</definedName>
    <definedName name="_Key1" hidden="1">#REF!</definedName>
    <definedName name="_Key2" hidden="1">#REF!</definedName>
    <definedName name="_kvs1" localSheetId="25" hidden="1">{#N/A,#N/A,FALSE,"COVER1.XLS ";#N/A,#N/A,FALSE,"RACT1.XLS";#N/A,#N/A,FALSE,"RACT2.XLS";#N/A,#N/A,FALSE,"ECCMP";#N/A,#N/A,FALSE,"WELDER.XLS"}</definedName>
    <definedName name="_kvs1" localSheetId="1" hidden="1">{#N/A,#N/A,FALSE,"COVER1.XLS ";#N/A,#N/A,FALSE,"RACT1.XLS";#N/A,#N/A,FALSE,"RACT2.XLS";#N/A,#N/A,FALSE,"ECCMP";#N/A,#N/A,FALSE,"WELDER.XLS"}</definedName>
    <definedName name="_kvs1" hidden="1">{#N/A,#N/A,FALSE,"COVER1.XLS ";#N/A,#N/A,FALSE,"RACT1.XLS";#N/A,#N/A,FALSE,"RACT2.XLS";#N/A,#N/A,FALSE,"ECCMP";#N/A,#N/A,FALSE,"WELDER.XLS"}</definedName>
    <definedName name="_kvs2" localSheetId="25" hidden="1">{#N/A,#N/A,FALSE,"COVER1.XLS ";#N/A,#N/A,FALSE,"RACT1.XLS";#N/A,#N/A,FALSE,"RACT2.XLS";#N/A,#N/A,FALSE,"ECCMP";#N/A,#N/A,FALSE,"WELDER.XLS"}</definedName>
    <definedName name="_kvs2" localSheetId="1" hidden="1">{#N/A,#N/A,FALSE,"COVER1.XLS ";#N/A,#N/A,FALSE,"RACT1.XLS";#N/A,#N/A,FALSE,"RACT2.XLS";#N/A,#N/A,FALSE,"ECCMP";#N/A,#N/A,FALSE,"WELDER.XLS"}</definedName>
    <definedName name="_kvs2" hidden="1">{#N/A,#N/A,FALSE,"COVER1.XLS ";#N/A,#N/A,FALSE,"RACT1.XLS";#N/A,#N/A,FALSE,"RACT2.XLS";#N/A,#N/A,FALSE,"ECCMP";#N/A,#N/A,FALSE,"WELDER.XLS"}</definedName>
    <definedName name="_kvs5" localSheetId="25" hidden="1">{#N/A,#N/A,FALSE,"COVER.XLS";#N/A,#N/A,FALSE,"RACT1.XLS";#N/A,#N/A,FALSE,"RACT2.XLS";#N/A,#N/A,FALSE,"ECCMP";#N/A,#N/A,FALSE,"WELDER.XLS"}</definedName>
    <definedName name="_kvs5" localSheetId="1" hidden="1">{#N/A,#N/A,FALSE,"COVER.XLS";#N/A,#N/A,FALSE,"RACT1.XLS";#N/A,#N/A,FALSE,"RACT2.XLS";#N/A,#N/A,FALSE,"ECCMP";#N/A,#N/A,FALSE,"WELDER.XLS"}</definedName>
    <definedName name="_kvs5" hidden="1">{#N/A,#N/A,FALSE,"COVER.XLS";#N/A,#N/A,FALSE,"RACT1.XLS";#N/A,#N/A,FALSE,"RACT2.XLS";#N/A,#N/A,FALSE,"ECCMP";#N/A,#N/A,FALSE,"WELDER.XLS"}</definedName>
    <definedName name="_kvs8" localSheetId="25" hidden="1">{#N/A,#N/A,FALSE,"COVER1.XLS ";#N/A,#N/A,FALSE,"RACT1.XLS";#N/A,#N/A,FALSE,"RACT2.XLS";#N/A,#N/A,FALSE,"ECCMP";#N/A,#N/A,FALSE,"WELDER.XLS"}</definedName>
    <definedName name="_kvs8" localSheetId="1" hidden="1">{#N/A,#N/A,FALSE,"COVER1.XLS ";#N/A,#N/A,FALSE,"RACT1.XLS";#N/A,#N/A,FALSE,"RACT2.XLS";#N/A,#N/A,FALSE,"ECCMP";#N/A,#N/A,FALSE,"WELDER.XLS"}</definedName>
    <definedName name="_kvs8" hidden="1">{#N/A,#N/A,FALSE,"COVER1.XLS ";#N/A,#N/A,FALSE,"RACT1.XLS";#N/A,#N/A,FALSE,"RACT2.XLS";#N/A,#N/A,FALSE,"ECCMP";#N/A,#N/A,FALSE,"WELDER.XLS"}</definedName>
    <definedName name="_LD1" localSheetId="25">#REF!</definedName>
    <definedName name="_LD1" localSheetId="27">#REF!</definedName>
    <definedName name="_LD1">#REF!</definedName>
    <definedName name="_LD2" localSheetId="25">#REF!</definedName>
    <definedName name="_LD2" localSheetId="27">#REF!</definedName>
    <definedName name="_LD2">#REF!</definedName>
    <definedName name="_LD3" localSheetId="25">#REF!</definedName>
    <definedName name="_LD3" localSheetId="27">#REF!</definedName>
    <definedName name="_LD3">#REF!</definedName>
    <definedName name="_LD4" localSheetId="27">#REF!</definedName>
    <definedName name="_LD4">#REF!</definedName>
    <definedName name="_LD5" localSheetId="27">#REF!</definedName>
    <definedName name="_LD5">#REF!</definedName>
    <definedName name="_LD6" localSheetId="27">#REF!</definedName>
    <definedName name="_LD6">#REF!</definedName>
    <definedName name="_lk1"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R1" localSheetId="25">#REF!</definedName>
    <definedName name="_LR1" localSheetId="27">#REF!</definedName>
    <definedName name="_LR1">#REF!</definedName>
    <definedName name="_LR2" localSheetId="25">#REF!</definedName>
    <definedName name="_LR2" localSheetId="27">#REF!</definedName>
    <definedName name="_LR2">#REF!</definedName>
    <definedName name="_Mar06" localSheetId="25">#REF!</definedName>
    <definedName name="_Mar06" localSheetId="27">#REF!</definedName>
    <definedName name="_Mar06">#REF!</definedName>
    <definedName name="_Mar09" localSheetId="27">#REF!</definedName>
    <definedName name="_Mar09">#REF!</definedName>
    <definedName name="_Mar10" localSheetId="27">#REF!</definedName>
    <definedName name="_Mar10">#REF!</definedName>
    <definedName name="_Mar11" localSheetId="27">#REF!</definedName>
    <definedName name="_Mar11">#REF!</definedName>
    <definedName name="_Mar12" localSheetId="27">#REF!</definedName>
    <definedName name="_Mar12">#REF!</definedName>
    <definedName name="_Mar13" localSheetId="27">#REF!</definedName>
    <definedName name="_Mar13">#REF!</definedName>
    <definedName name="_Mar16" localSheetId="27">#REF!</definedName>
    <definedName name="_Mar16">#REF!</definedName>
    <definedName name="_Mar17" localSheetId="27">#REF!</definedName>
    <definedName name="_Mar17">#REF!</definedName>
    <definedName name="_Mar18" localSheetId="27">#REF!</definedName>
    <definedName name="_Mar18">#REF!</definedName>
    <definedName name="_Mar19" localSheetId="27">#REF!</definedName>
    <definedName name="_Mar19">#REF!</definedName>
    <definedName name="_Mar20" localSheetId="27">#REF!</definedName>
    <definedName name="_Mar20">#REF!</definedName>
    <definedName name="_Mar23" localSheetId="27">#REF!</definedName>
    <definedName name="_Mar23">#REF!</definedName>
    <definedName name="_Mar24" localSheetId="27">#REF!</definedName>
    <definedName name="_Mar24">#REF!</definedName>
    <definedName name="_Mar25" localSheetId="27">#REF!</definedName>
    <definedName name="_Mar25">#REF!</definedName>
    <definedName name="_Mar26" localSheetId="27">#REF!</definedName>
    <definedName name="_Mar26">#REF!</definedName>
    <definedName name="_Mar27" localSheetId="27">#REF!</definedName>
    <definedName name="_Mar27">#REF!</definedName>
    <definedName name="_Mar28" localSheetId="27">#REF!</definedName>
    <definedName name="_Mar28">#REF!</definedName>
    <definedName name="_Mar30" localSheetId="27">#REF!</definedName>
    <definedName name="_Mar30">#REF!</definedName>
    <definedName name="_Mar31" localSheetId="27">#REF!</definedName>
    <definedName name="_Mar31">#REF!</definedName>
    <definedName name="_nA84" localSheetId="25">#REF!</definedName>
    <definedName name="_nA84" localSheetId="27">#REF!</definedName>
    <definedName name="_nA84">#REF!</definedName>
    <definedName name="_NCS111" localSheetId="25">#REF!</definedName>
    <definedName name="_NCS111" localSheetId="27">#REF!</definedName>
    <definedName name="_NCS111">#REF!</definedName>
    <definedName name="_Order1" hidden="1">255</definedName>
    <definedName name="_Order2" hidden="1">0</definedName>
    <definedName name="_PH1">#N/A</definedName>
    <definedName name="_PL1" localSheetId="25">#REF!</definedName>
    <definedName name="_PL1">#REF!</definedName>
    <definedName name="_PRN1" localSheetId="25" hidden="1">{#N/A,#N/A,FALSE,"COVER.XLS";#N/A,#N/A,FALSE,"RACT1.XLS";#N/A,#N/A,FALSE,"RACT2.XLS";#N/A,#N/A,FALSE,"ECCMP";#N/A,#N/A,FALSE,"WELDER.XLS"}</definedName>
    <definedName name="_PRN1" localSheetId="1" hidden="1">{#N/A,#N/A,FALSE,"COVER.XLS";#N/A,#N/A,FALSE,"RACT1.XLS";#N/A,#N/A,FALSE,"RACT2.XLS";#N/A,#N/A,FALSE,"ECCMP";#N/A,#N/A,FALSE,"WELDER.XLS"}</definedName>
    <definedName name="_PRN1" hidden="1">{#N/A,#N/A,FALSE,"COVER.XLS";#N/A,#N/A,FALSE,"RACT1.XLS";#N/A,#N/A,FALSE,"RACT2.XLS";#N/A,#N/A,FALSE,"ECCMP";#N/A,#N/A,FALSE,"WELDER.XLS"}</definedName>
    <definedName name="_RT5" localSheetId="15">#REF!</definedName>
    <definedName name="_RT5" localSheetId="29">#REF!</definedName>
    <definedName name="_RT5" localSheetId="35">#REF!</definedName>
    <definedName name="_RT5" localSheetId="23">#REF!</definedName>
    <definedName name="_RT5" localSheetId="25">#REF!</definedName>
    <definedName name="_RT5" localSheetId="27">#REF!</definedName>
    <definedName name="_RT5" localSheetId="56">#REF!</definedName>
    <definedName name="_RT5" localSheetId="57">#REF!</definedName>
    <definedName name="_RT5">#REF!</definedName>
    <definedName name="_SCH10" localSheetId="25">#REF!</definedName>
    <definedName name="_SCH10">#REF!</definedName>
    <definedName name="_SCH11">#REF!</definedName>
    <definedName name="_SCH12">#REF!</definedName>
    <definedName name="_sch13">#REF!</definedName>
    <definedName name="_SCH3">#REF!</definedName>
    <definedName name="_SCH4">#REF!</definedName>
    <definedName name="_SCH5">#REF!</definedName>
    <definedName name="_SCH6" localSheetId="15">#REF!</definedName>
    <definedName name="_SCH6" localSheetId="16">#REF!</definedName>
    <definedName name="_SCH6" localSheetId="35">#REF!</definedName>
    <definedName name="_SCH6" localSheetId="38">#REF!</definedName>
    <definedName name="_SCH6" localSheetId="43">#REF!</definedName>
    <definedName name="_SCH6" localSheetId="44">#REF!</definedName>
    <definedName name="_SCH6" localSheetId="21">#REF!</definedName>
    <definedName name="_SCH6" localSheetId="22">#REF!</definedName>
    <definedName name="_SCH6" localSheetId="20">#REF!</definedName>
    <definedName name="_SCH6" localSheetId="23">#REF!</definedName>
    <definedName name="_SCH6" localSheetId="25">#REF!</definedName>
    <definedName name="_SCH6" localSheetId="27">#REF!</definedName>
    <definedName name="_SCH6" localSheetId="56">#REF!</definedName>
    <definedName name="_SCH6" localSheetId="57">#REF!</definedName>
    <definedName name="_SCH6">#REF!</definedName>
    <definedName name="_SCH7" localSheetId="25">#REF!</definedName>
    <definedName name="_SCH7">#REF!</definedName>
    <definedName name="_SCH8" localSheetId="25">#REF!</definedName>
    <definedName name="_SCH8">#REF!</definedName>
    <definedName name="_SCH9" localSheetId="25">#REF!</definedName>
    <definedName name="_SCH9">#REF!</definedName>
    <definedName name="_SH1" localSheetId="27">#REF!</definedName>
    <definedName name="_SH1">#REF!</definedName>
    <definedName name="_SH10" localSheetId="27">#REF!</definedName>
    <definedName name="_SH10">#REF!</definedName>
    <definedName name="_SH11" localSheetId="27">#REF!</definedName>
    <definedName name="_SH11">#REF!</definedName>
    <definedName name="_SH2" localSheetId="27">#REF!</definedName>
    <definedName name="_SH2">#REF!</definedName>
    <definedName name="_SH3" localSheetId="27">#REF!</definedName>
    <definedName name="_SH3">#REF!</definedName>
    <definedName name="_SH4" localSheetId="27">#REF!</definedName>
    <definedName name="_SH4">#REF!</definedName>
    <definedName name="_SH5" localSheetId="27">#REF!</definedName>
    <definedName name="_SH5">#REF!</definedName>
    <definedName name="_SH6" localSheetId="27">#REF!</definedName>
    <definedName name="_SH6">#REF!</definedName>
    <definedName name="_SH7" localSheetId="27">#REF!</definedName>
    <definedName name="_SH7">#REF!</definedName>
    <definedName name="_SH8" localSheetId="27">#REF!</definedName>
    <definedName name="_SH8">#REF!</definedName>
    <definedName name="_SH9" localSheetId="27">#REF!</definedName>
    <definedName name="_SH9">#REF!</definedName>
    <definedName name="_Sort" localSheetId="15" hidden="1">#REF!</definedName>
    <definedName name="_Sort" localSheetId="29" hidden="1">#REF!</definedName>
    <definedName name="_Sort" localSheetId="35" hidden="1">#REF!</definedName>
    <definedName name="_Sort" localSheetId="23" hidden="1">#REF!</definedName>
    <definedName name="_Sort" localSheetId="25" hidden="1">#REF!</definedName>
    <definedName name="_Sort" localSheetId="27" hidden="1">#REF!</definedName>
    <definedName name="_Sort" localSheetId="56" hidden="1">#REF!</definedName>
    <definedName name="_Sort" hidden="1">#REF!</definedName>
    <definedName name="_tr1"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WRN1" localSheetId="25" hidden="1">{#N/A,#N/A,FALSE,"COVER1.XLS ";#N/A,#N/A,FALSE,"RACT1.XLS";#N/A,#N/A,FALSE,"RACT2.XLS";#N/A,#N/A,FALSE,"ECCMP";#N/A,#N/A,FALSE,"WELDER.XLS"}</definedName>
    <definedName name="_WRN1" localSheetId="1" hidden="1">{#N/A,#N/A,FALSE,"COVER1.XLS ";#N/A,#N/A,FALSE,"RACT1.XLS";#N/A,#N/A,FALSE,"RACT2.XLS";#N/A,#N/A,FALSE,"ECCMP";#N/A,#N/A,FALSE,"WELDER.XLS"}</definedName>
    <definedName name="_WRN1" hidden="1">{#N/A,#N/A,FALSE,"COVER1.XLS ";#N/A,#N/A,FALSE,"RACT1.XLS";#N/A,#N/A,FALSE,"RACT2.XLS";#N/A,#N/A,FALSE,"ECCMP";#N/A,#N/A,FALSE,"WELDER.XLS"}</definedName>
    <definedName name="_WRN2" localSheetId="25" hidden="1">{#N/A,#N/A,FALSE,"COVER1.XLS ";#N/A,#N/A,FALSE,"RACT1.XLS";#N/A,#N/A,FALSE,"RACT2.XLS";#N/A,#N/A,FALSE,"ECCMP";#N/A,#N/A,FALSE,"WELDER.XLS"}</definedName>
    <definedName name="_WRN2" localSheetId="1" hidden="1">{#N/A,#N/A,FALSE,"COVER1.XLS ";#N/A,#N/A,FALSE,"RACT1.XLS";#N/A,#N/A,FALSE,"RACT2.XLS";#N/A,#N/A,FALSE,"ECCMP";#N/A,#N/A,FALSE,"WELDER.XLS"}</definedName>
    <definedName name="_WRN2" hidden="1">{#N/A,#N/A,FALSE,"COVER1.XLS ";#N/A,#N/A,FALSE,"RACT1.XLS";#N/A,#N/A,FALSE,"RACT2.XLS";#N/A,#N/A,FALSE,"ECCMP";#N/A,#N/A,FALSE,"WELDER.XLS"}</definedName>
    <definedName name="_WRN3" localSheetId="25" hidden="1">{#N/A,#N/A,FALSE,"consu_cover";#N/A,#N/A,FALSE,"consu_strategy";#N/A,#N/A,FALSE,"consu_flow";#N/A,#N/A,FALSE,"Summary_reqmt";#N/A,#N/A,FALSE,"field_ppg";#N/A,#N/A,FALSE,"ppg_shop";#N/A,#N/A,FALSE,"strl";#N/A,#N/A,FALSE,"tankages";#N/A,#N/A,FALSE,"gases"}</definedName>
    <definedName name="_WRN3" localSheetId="1" hidden="1">{#N/A,#N/A,FALSE,"consu_cover";#N/A,#N/A,FALSE,"consu_strategy";#N/A,#N/A,FALSE,"consu_flow";#N/A,#N/A,FALSE,"Summary_reqmt";#N/A,#N/A,FALSE,"field_ppg";#N/A,#N/A,FALSE,"ppg_shop";#N/A,#N/A,FALSE,"strl";#N/A,#N/A,FALSE,"tankages";#N/A,#N/A,FALSE,"gases"}</definedName>
    <definedName name="_WRN3" hidden="1">{#N/A,#N/A,FALSE,"consu_cover";#N/A,#N/A,FALSE,"consu_strategy";#N/A,#N/A,FALSE,"consu_flow";#N/A,#N/A,FALSE,"Summary_reqmt";#N/A,#N/A,FALSE,"field_ppg";#N/A,#N/A,FALSE,"ppg_shop";#N/A,#N/A,FALSE,"strl";#N/A,#N/A,FALSE,"tankages";#N/A,#N/A,FALSE,"gases"}</definedName>
    <definedName name="A" localSheetId="29">#REF!</definedName>
    <definedName name="A" localSheetId="38">#REF!</definedName>
    <definedName name="A" localSheetId="43">#REF!</definedName>
    <definedName name="A" localSheetId="44">#REF!</definedName>
    <definedName name="A" localSheetId="21">#REF!</definedName>
    <definedName name="A" localSheetId="22">#REF!</definedName>
    <definedName name="A" localSheetId="20">#REF!</definedName>
    <definedName name="A" localSheetId="23">#REF!</definedName>
    <definedName name="A" localSheetId="25">#REF!</definedName>
    <definedName name="A" localSheetId="27">#REF!</definedName>
    <definedName name="A">#REF!</definedName>
    <definedName name="A.12">#REF!</definedName>
    <definedName name="A1_" localSheetId="25">#REF!</definedName>
    <definedName name="A1_">#REF!</definedName>
    <definedName name="A10_">#REF!</definedName>
    <definedName name="A13_">#REF!</definedName>
    <definedName name="A2_">#REF!</definedName>
    <definedName name="A3_">#REF!</definedName>
    <definedName name="A4_">#REF!</definedName>
    <definedName name="A5_">#REF!</definedName>
    <definedName name="A6_">#REF!</definedName>
    <definedName name="A7_">#REF!</definedName>
    <definedName name="A8_">#REF!</definedName>
    <definedName name="A9_">#REF!</definedName>
    <definedName name="aa" localSheetId="27">#REF!</definedName>
    <definedName name="aa">#REF!</definedName>
    <definedName name="aaa" localSheetId="29">#REF!</definedName>
    <definedName name="aaa" localSheetId="23">#REF!</definedName>
    <definedName name="aaa" localSheetId="25">#REF!</definedName>
    <definedName name="aaa" localSheetId="27">#REF!</definedName>
    <definedName name="aaa">#REF!</definedName>
    <definedName name="aaaa"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aaa" localSheetId="25" hidden="1">{#N/A,#N/A,FALSE,"COVER1.XLS ";#N/A,#N/A,FALSE,"RACT1.XLS";#N/A,#N/A,FALSE,"RACT2.XLS";#N/A,#N/A,FALSE,"ECCMP";#N/A,#N/A,FALSE,"WELDER.XLS"}</definedName>
    <definedName name="aaaaaaa" localSheetId="1" hidden="1">{#N/A,#N/A,FALSE,"COVER1.XLS ";#N/A,#N/A,FALSE,"RACT1.XLS";#N/A,#N/A,FALSE,"RACT2.XLS";#N/A,#N/A,FALSE,"ECCMP";#N/A,#N/A,FALSE,"WELDER.XLS"}</definedName>
    <definedName name="aaaaaaa" hidden="1">{#N/A,#N/A,FALSE,"COVER1.XLS ";#N/A,#N/A,FALSE,"RACT1.XLS";#N/A,#N/A,FALSE,"RACT2.XLS";#N/A,#N/A,FALSE,"ECCMP";#N/A,#N/A,FALSE,"WELDER.XLS"}</definedName>
    <definedName name="aaaaaaaa" localSheetId="25">#REF!</definedName>
    <definedName name="aaaaaaaa" localSheetId="27">#REF!</definedName>
    <definedName name="aaaaaaaa">#REF!</definedName>
    <definedName name="aaaaaaaaaaaaaadddddd" localSheetId="25">#REF!</definedName>
    <definedName name="aaaaaaaaaaaaaadddddd" localSheetId="27">#REF!</definedName>
    <definedName name="aaaaaaaaaaaaaadddddd">#REF!</definedName>
    <definedName name="aaassssggg" localSheetId="27">#REF!</definedName>
    <definedName name="aaassssggg">#REF!</definedName>
    <definedName name="ab" localSheetId="27">#REF!</definedName>
    <definedName name="ab">#REF!</definedName>
    <definedName name="ABC" localSheetId="25" hidden="1">{#N/A,#N/A,FALSE,"COVER.XLS";#N/A,#N/A,FALSE,"RACT1.XLS";#N/A,#N/A,FALSE,"RACT2.XLS";#N/A,#N/A,FALSE,"ECCMP";#N/A,#N/A,FALSE,"WELDER.XLS"}</definedName>
    <definedName name="ABC" localSheetId="1" hidden="1">{#N/A,#N/A,FALSE,"COVER.XLS";#N/A,#N/A,FALSE,"RACT1.XLS";#N/A,#N/A,FALSE,"RACT2.XLS";#N/A,#N/A,FALSE,"ECCMP";#N/A,#N/A,FALSE,"WELDER.XLS"}</definedName>
    <definedName name="ABC" hidden="1">{#N/A,#N/A,FALSE,"COVER.XLS";#N/A,#N/A,FALSE,"RACT1.XLS";#N/A,#N/A,FALSE,"RACT2.XLS";#N/A,#N/A,FALSE,"ECCMP";#N/A,#N/A,FALSE,"WELDER.XLS"}</definedName>
    <definedName name="abddddd" localSheetId="25"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bddddd"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bddddd"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df" localSheetId="25" hidden="1">{#N/A,#N/A,FALSE,"COVER1.XLS ";#N/A,#N/A,FALSE,"RACT1.XLS";#N/A,#N/A,FALSE,"RACT2.XLS";#N/A,#N/A,FALSE,"ECCMP";#N/A,#N/A,FALSE,"WELDER.XLS"}</definedName>
    <definedName name="adf" localSheetId="1" hidden="1">{#N/A,#N/A,FALSE,"COVER1.XLS ";#N/A,#N/A,FALSE,"RACT1.XLS";#N/A,#N/A,FALSE,"RACT2.XLS";#N/A,#N/A,FALSE,"ECCMP";#N/A,#N/A,FALSE,"WELDER.XLS"}</definedName>
    <definedName name="adf" hidden="1">{#N/A,#N/A,FALSE,"COVER1.XLS ";#N/A,#N/A,FALSE,"RACT1.XLS";#N/A,#N/A,FALSE,"RACT2.XLS";#N/A,#N/A,FALSE,"ECCMP";#N/A,#N/A,FALSE,"WELDER.XLS"}</definedName>
    <definedName name="ADL.63" localSheetId="25">#REF!</definedName>
    <definedName name="ADL.63" localSheetId="27">#REF!</definedName>
    <definedName name="ADL.63">#REF!</definedName>
    <definedName name="adsa" localSheetId="15" hidden="1">#REF!</definedName>
    <definedName name="adsa" localSheetId="29" hidden="1">#REF!</definedName>
    <definedName name="adsa" localSheetId="35" hidden="1">#REF!</definedName>
    <definedName name="adsa" localSheetId="23" hidden="1">#REF!</definedName>
    <definedName name="adsa" localSheetId="25" hidden="1">#REF!</definedName>
    <definedName name="adsa" localSheetId="27" hidden="1">#REF!</definedName>
    <definedName name="adsa" localSheetId="56" hidden="1">#REF!</definedName>
    <definedName name="adsa" hidden="1">#REF!</definedName>
    <definedName name="agri" localSheetId="29">#REF!</definedName>
    <definedName name="agri" localSheetId="23">#REF!</definedName>
    <definedName name="agri" localSheetId="25">#REF!</definedName>
    <definedName name="agri" localSheetId="27">#REF!</definedName>
    <definedName name="agri">#REF!</definedName>
    <definedName name="agricalcopt" localSheetId="27">#REF!</definedName>
    <definedName name="agricalcopt">#REF!</definedName>
    <definedName name="allocation" localSheetId="25" hidden="1">#REF!</definedName>
    <definedName name="allocation" localSheetId="27" hidden="1">#REF!</definedName>
    <definedName name="allocation" hidden="1">#REF!</definedName>
    <definedName name="AMC">#REF!</definedName>
    <definedName name="APR">#REF!</definedName>
    <definedName name="ARR">#REF!</definedName>
    <definedName name="arrintrst"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rrintrst"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rrintrs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s" localSheetId="25">#REF!</definedName>
    <definedName name="as" localSheetId="27">#REF!</definedName>
    <definedName name="as">#REF!</definedName>
    <definedName name="AS2DocOpenMode" hidden="1">"AS2DocumentEdit"</definedName>
    <definedName name="asd" localSheetId="25">#REF!</definedName>
    <definedName name="asd">#REF!</definedName>
    <definedName name="asdasd" localSheetId="15">#REF!</definedName>
    <definedName name="asdasd" localSheetId="29">#REF!</definedName>
    <definedName name="asdasd" localSheetId="35">#REF!</definedName>
    <definedName name="asdasd" localSheetId="23">#REF!</definedName>
    <definedName name="asdasd" localSheetId="25">#REF!</definedName>
    <definedName name="asdasd" localSheetId="27">#REF!</definedName>
    <definedName name="asdasd" localSheetId="56">#REF!</definedName>
    <definedName name="asdasd">#REF!</definedName>
    <definedName name="asdASDSA" localSheetId="25">#REF!</definedName>
    <definedName name="asdASDSA" localSheetId="27">#REF!</definedName>
    <definedName name="asdASDSA">#REF!</definedName>
    <definedName name="ASDCVF" localSheetId="2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ASDCVF" localSheetId="1"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ASDCVF"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asdD" localSheetId="25" hidden="1">#REF!</definedName>
    <definedName name="asdD" hidden="1">#REF!</definedName>
    <definedName name="assa" localSheetId="25"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s" localSheetId="25">#REF!</definedName>
    <definedName name="asss" localSheetId="27">#REF!</definedName>
    <definedName name="asss">#REF!</definedName>
    <definedName name="asst_cost" localSheetId="29">#REF!</definedName>
    <definedName name="asst_cost" localSheetId="35">#REF!</definedName>
    <definedName name="asst_cost" localSheetId="23">#REF!</definedName>
    <definedName name="asst_cost" localSheetId="25">#REF!</definedName>
    <definedName name="asst_cost" localSheetId="27">#REF!</definedName>
    <definedName name="asst_cost" localSheetId="57">#REF!</definedName>
    <definedName name="asst_cost">#REF!</definedName>
    <definedName name="ASSUMPTIONS" localSheetId="27">#REF!</definedName>
    <definedName name="ASSUMPTIONS">#REF!</definedName>
    <definedName name="ATC_MoP" localSheetId="25" hidden="1">#REF!</definedName>
    <definedName name="ATC_MoP" localSheetId="27" hidden="1">#REF!</definedName>
    <definedName name="ATC_MoP" hidden="1">#REF!</definedName>
    <definedName name="ÅtkZ_Hkou__nsgjknwu" localSheetId="29">#REF!</definedName>
    <definedName name="ÅtkZ_Hkou__nsgjknwu" localSheetId="23">#REF!</definedName>
    <definedName name="ÅtkZ_Hkou__nsgjknwu" localSheetId="25">#REF!</definedName>
    <definedName name="ÅtkZ_Hkou__nsgjknwu" localSheetId="27">#REF!</definedName>
    <definedName name="ÅtkZ_Hkou__nsgjknwu">#REF!</definedName>
    <definedName name="AUG" localSheetId="27" hidden="1">#REF!</definedName>
    <definedName name="AUG" hidden="1">#REF!</definedName>
    <definedName name="AUX" localSheetId="27">#REF!</definedName>
    <definedName name="AUX">#REF!</definedName>
    <definedName name="B" localSheetId="1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2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3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2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2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2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1"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56"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5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alancesheet" localSheetId="25">#REF!</definedName>
    <definedName name="Balancesheet">#REF!</definedName>
    <definedName name="BaseFiscal" localSheetId="25">#REF!</definedName>
    <definedName name="BaseFiscal" localSheetId="27">#REF!</definedName>
    <definedName name="BaseFiscal">#REF!</definedName>
    <definedName name="BaseYear" localSheetId="29">#REF!</definedName>
    <definedName name="BaseYear" localSheetId="35">#REF!</definedName>
    <definedName name="BaseYear" localSheetId="23">#REF!</definedName>
    <definedName name="BaseYear" localSheetId="25">#REF!</definedName>
    <definedName name="BaseYear" localSheetId="27">#REF!</definedName>
    <definedName name="BaseYear" localSheetId="57">#REF!</definedName>
    <definedName name="BaseYear">#REF!</definedName>
    <definedName name="bbbbbbbb" localSheetId="25">#REF!</definedName>
    <definedName name="bbbbbbbb">#REF!</definedName>
    <definedName name="Beg_Bal">#REF!</definedName>
    <definedName name="BH" localSheetId="27">#REF!</definedName>
    <definedName name="BH">#REF!</definedName>
    <definedName name="BHP" localSheetId="25">#REF!</definedName>
    <definedName name="BHP" localSheetId="27">#REF!</definedName>
    <definedName name="BHP">#REF!</definedName>
    <definedName name="BR_Resou" localSheetId="25">#REF!</definedName>
    <definedName name="BR_Resou">#REF!</definedName>
    <definedName name="BRH" localSheetId="25">#REF!</definedName>
    <definedName name="BRH" localSheetId="27">#REF!</definedName>
    <definedName name="BRH">#REF!</definedName>
    <definedName name="BSP_LSCH" localSheetId="15">#REF!</definedName>
    <definedName name="BSP_LSCH" localSheetId="29">#REF!</definedName>
    <definedName name="BSP_LSCH" localSheetId="35">#REF!</definedName>
    <definedName name="BSP_LSCH" localSheetId="23">#REF!</definedName>
    <definedName name="BSP_LSCH" localSheetId="25">#REF!</definedName>
    <definedName name="BSP_LSCH" localSheetId="27">#REF!</definedName>
    <definedName name="BSP_LSCH" localSheetId="56">#REF!</definedName>
    <definedName name="BSP_LSCH">#REF!</definedName>
    <definedName name="budget" localSheetId="25" hidden="1">{#N/A,#N/A,FALSE,"1.1";#N/A,#N/A,FALSE,"1.1a";#N/A,#N/A,FALSE,"1.1b";#N/A,#N/A,FALSE,"1.1c";#N/A,#N/A,FALSE,"1.1e";#N/A,#N/A,FALSE,"1.1f";#N/A,#N/A,FALSE,"1.1g";#N/A,#N/A,FALSE,"1.1h_T";#N/A,#N/A,FALSE,"1.1h_D";#N/A,#N/A,FALSE,"1.2";#N/A,#N/A,FALSE,"1.3";#N/A,#N/A,FALSE,"1.3b";#N/A,#N/A,FALSE,"1.4";#N/A,#N/A,FALSE,"1.5";#N/A,#N/A,FALSE,"1.6";#N/A,#N/A,FALSE,"2.1";#N/A,#N/A,FALSE,"SOD";#N/A,#N/A,FALSE,"OL";#N/A,#N/A,FALSE,"CF"}</definedName>
    <definedName name="budget" localSheetId="1" hidden="1">{#N/A,#N/A,FALSE,"1.1";#N/A,#N/A,FALSE,"1.1a";#N/A,#N/A,FALSE,"1.1b";#N/A,#N/A,FALSE,"1.1c";#N/A,#N/A,FALSE,"1.1e";#N/A,#N/A,FALSE,"1.1f";#N/A,#N/A,FALSE,"1.1g";#N/A,#N/A,FALSE,"1.1h_T";#N/A,#N/A,FALSE,"1.1h_D";#N/A,#N/A,FALSE,"1.2";#N/A,#N/A,FALSE,"1.3";#N/A,#N/A,FALSE,"1.3b";#N/A,#N/A,FALSE,"1.4";#N/A,#N/A,FALSE,"1.5";#N/A,#N/A,FALSE,"1.6";#N/A,#N/A,FALSE,"2.1";#N/A,#N/A,FALSE,"SOD";#N/A,#N/A,FALSE,"OL";#N/A,#N/A,FALSE,"CF"}</definedName>
    <definedName name="budget" hidden="1">{#N/A,#N/A,FALSE,"1.1";#N/A,#N/A,FALSE,"1.1a";#N/A,#N/A,FALSE,"1.1b";#N/A,#N/A,FALSE,"1.1c";#N/A,#N/A,FALSE,"1.1e";#N/A,#N/A,FALSE,"1.1f";#N/A,#N/A,FALSE,"1.1g";#N/A,#N/A,FALSE,"1.1h_T";#N/A,#N/A,FALSE,"1.1h_D";#N/A,#N/A,FALSE,"1.2";#N/A,#N/A,FALSE,"1.3";#N/A,#N/A,FALSE,"1.3b";#N/A,#N/A,FALSE,"1.4";#N/A,#N/A,FALSE,"1.5";#N/A,#N/A,FALSE,"1.6";#N/A,#N/A,FALSE,"2.1";#N/A,#N/A,FALSE,"SOD";#N/A,#N/A,FALSE,"OL";#N/A,#N/A,FALSE,"CF"}</definedName>
    <definedName name="BUS" localSheetId="25">#REF!</definedName>
    <definedName name="BUS" localSheetId="27">#REF!</definedName>
    <definedName name="BUS">#REF!</definedName>
    <definedName name="Bust">#REF!</definedName>
    <definedName name="C_DSC" localSheetId="15">#REF!</definedName>
    <definedName name="C_DSC" localSheetId="29">#REF!</definedName>
    <definedName name="C_DSC" localSheetId="23">#REF!</definedName>
    <definedName name="C_DSC" localSheetId="25">#REF!</definedName>
    <definedName name="C_DSC" localSheetId="27">#REF!</definedName>
    <definedName name="C_DSC" localSheetId="56">#REF!</definedName>
    <definedName name="C_DSC">#REF!</definedName>
    <definedName name="Cap_add_and_loss_assumptions" localSheetId="27">#REF!</definedName>
    <definedName name="Cap_add_and_loss_assumptions">#REF!</definedName>
    <definedName name="caprate1" localSheetId="27">#REF!</definedName>
    <definedName name="caprate1">#REF!</definedName>
    <definedName name="caprate2" localSheetId="27">#REF!</definedName>
    <definedName name="caprate2">#REF!</definedName>
    <definedName name="caprate3" localSheetId="27">#REF!</definedName>
    <definedName name="caprate3">#REF!</definedName>
    <definedName name="CASHFLOW" localSheetId="15">#REF!</definedName>
    <definedName name="CASHFLOW" localSheetId="29">#REF!</definedName>
    <definedName name="CASHFLOW" localSheetId="23">#REF!</definedName>
    <definedName name="CASHFLOW" localSheetId="25">#REF!</definedName>
    <definedName name="CASHFLOW" localSheetId="27">#REF!</definedName>
    <definedName name="CASHFLOW" localSheetId="56">#REF!</definedName>
    <definedName name="CASHFLOW">#REF!</definedName>
    <definedName name="CDGD" localSheetId="27">#REF!</definedName>
    <definedName name="CDGD">#REF!</definedName>
    <definedName name="cdu" localSheetId="25" hidden="1">{#N/A,#N/A,FALSE,"COVER.XLS";#N/A,#N/A,FALSE,"RACT1.XLS";#N/A,#N/A,FALSE,"RACT2.XLS";#N/A,#N/A,FALSE,"ECCMP";#N/A,#N/A,FALSE,"WELDER.XLS"}</definedName>
    <definedName name="cdu" localSheetId="1" hidden="1">{#N/A,#N/A,FALSE,"COVER.XLS";#N/A,#N/A,FALSE,"RACT1.XLS";#N/A,#N/A,FALSE,"RACT2.XLS";#N/A,#N/A,FALSE,"ECCMP";#N/A,#N/A,FALSE,"WELDER.XLS"}</definedName>
    <definedName name="cdu" hidden="1">{#N/A,#N/A,FALSE,"COVER.XLS";#N/A,#N/A,FALSE,"RACT1.XLS";#N/A,#N/A,FALSE,"RACT2.XLS";#N/A,#N/A,FALSE,"ECCMP";#N/A,#N/A,FALSE,"WELDER.XLS"}</definedName>
    <definedName name="ch" localSheetId="25">#REF!</definedName>
    <definedName name="ch" localSheetId="27">#REF!</definedName>
    <definedName name="ch">#REF!</definedName>
    <definedName name="cisco_dscnt" localSheetId="25">#REF!</definedName>
    <definedName name="cisco_dscnt">#REF!</definedName>
    <definedName name="COAL" localSheetId="25">#REF!</definedName>
    <definedName name="COAL" localSheetId="27">#REF!</definedName>
    <definedName name="COAL">#REF!</definedName>
    <definedName name="Complex">#REF!</definedName>
    <definedName name="Connec1" localSheetId="25">#REF!</definedName>
    <definedName name="Connec1" localSheetId="27">#REF!</definedName>
    <definedName name="Connec1">#REF!</definedName>
    <definedName name="Connec2" localSheetId="25">#REF!</definedName>
    <definedName name="Connec2" localSheetId="27">#REF!</definedName>
    <definedName name="Connec2">#REF!</definedName>
    <definedName name="Connec3" localSheetId="29">#REF!</definedName>
    <definedName name="Connec3" localSheetId="35">#REF!</definedName>
    <definedName name="Connec3" localSheetId="25">#REF!</definedName>
    <definedName name="Connec3" localSheetId="27">#REF!</definedName>
    <definedName name="Connec3" localSheetId="57">#REF!</definedName>
    <definedName name="Connec3">#REF!</definedName>
    <definedName name="Connec4" localSheetId="29">#REF!</definedName>
    <definedName name="Connec4" localSheetId="25">#REF!</definedName>
    <definedName name="Connec4" localSheetId="27">#REF!</definedName>
    <definedName name="Connec4">#REF!</definedName>
    <definedName name="Connec5" localSheetId="29">#REF!</definedName>
    <definedName name="Connec5" localSheetId="25">#REF!</definedName>
    <definedName name="Connec5" localSheetId="27">#REF!</definedName>
    <definedName name="Connec5">#REF!</definedName>
    <definedName name="Connected_Load" localSheetId="27">#REF!</definedName>
    <definedName name="Connected_Load">#REF!</definedName>
    <definedName name="Connected_Load1" localSheetId="27">#REF!</definedName>
    <definedName name="Connected_Load1">#REF!</definedName>
    <definedName name="Connected_Load2" localSheetId="27">#REF!</definedName>
    <definedName name="Connected_Load2">#REF!</definedName>
    <definedName name="Cons_number_Col_Ind" localSheetId="25">#REF!</definedName>
    <definedName name="Cons_number_Col_Ind" localSheetId="27">#REF!</definedName>
    <definedName name="Cons_number_Col_Ind">#REF!</definedName>
    <definedName name="Cons1" localSheetId="25">#REF!</definedName>
    <definedName name="Cons1" localSheetId="27">#REF!</definedName>
    <definedName name="Cons1">#REF!</definedName>
    <definedName name="Cons2" localSheetId="25">#REF!</definedName>
    <definedName name="Cons2" localSheetId="27">#REF!</definedName>
    <definedName name="Cons2">#REF!</definedName>
    <definedName name="Cons3" localSheetId="29">#REF!</definedName>
    <definedName name="Cons3" localSheetId="35">#REF!</definedName>
    <definedName name="Cons3" localSheetId="25">#REF!</definedName>
    <definedName name="Cons3" localSheetId="27">#REF!</definedName>
    <definedName name="Cons3" localSheetId="57">#REF!</definedName>
    <definedName name="Cons3">#REF!</definedName>
    <definedName name="Cons4" localSheetId="29">#REF!</definedName>
    <definedName name="Cons4" localSheetId="25">#REF!</definedName>
    <definedName name="Cons4" localSheetId="27">#REF!</definedName>
    <definedName name="Cons4">#REF!</definedName>
    <definedName name="Cons5" localSheetId="29">#REF!</definedName>
    <definedName name="Cons5" localSheetId="25">#REF!</definedName>
    <definedName name="Cons5" localSheetId="27">#REF!</definedName>
    <definedName name="Cons5">#REF!</definedName>
    <definedName name="Consumer1" localSheetId="27">#REF!</definedName>
    <definedName name="Consumer1">#REF!</definedName>
    <definedName name="Consumer2" localSheetId="27">#REF!</definedName>
    <definedName name="Consumer2">#REF!</definedName>
    <definedName name="Consumers" localSheetId="27">#REF!</definedName>
    <definedName name="Consumers">#REF!</definedName>
    <definedName name="Consumers2" localSheetId="27">#REF!</definedName>
    <definedName name="Consumers2">#REF!</definedName>
    <definedName name="Continue">#REF!</definedName>
    <definedName name="contracted"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tracted"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tracted"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usmer" localSheetId="25">#REF!</definedName>
    <definedName name="Conusmer" localSheetId="27">#REF!</definedName>
    <definedName name="Conusmer">#REF!</definedName>
    <definedName name="Conusmers" localSheetId="25">#REF!</definedName>
    <definedName name="Conusmers" localSheetId="27">#REF!</definedName>
    <definedName name="Conusmers">#REF!</definedName>
    <definedName name="CR" localSheetId="27">#REF!</definedName>
    <definedName name="CR">#REF!</definedName>
    <definedName name="CRIT" localSheetId="25" hidden="1">{#N/A,#N/A,FALSE,"consu_cover";#N/A,#N/A,FALSE,"consu_strategy";#N/A,#N/A,FALSE,"consu_flow";#N/A,#N/A,FALSE,"Summary_reqmt";#N/A,#N/A,FALSE,"field_ppg";#N/A,#N/A,FALSE,"ppg_shop";#N/A,#N/A,FALSE,"strl";#N/A,#N/A,FALSE,"tankages";#N/A,#N/A,FALSE,"gases"}</definedName>
    <definedName name="CRIT" localSheetId="1" hidden="1">{#N/A,#N/A,FALSE,"consu_cover";#N/A,#N/A,FALSE,"consu_strategy";#N/A,#N/A,FALSE,"consu_flow";#N/A,#N/A,FALSE,"Summary_reqmt";#N/A,#N/A,FALSE,"field_ppg";#N/A,#N/A,FALSE,"ppg_shop";#N/A,#N/A,FALSE,"strl";#N/A,#N/A,FALSE,"tankages";#N/A,#N/A,FALSE,"gases"}</definedName>
    <definedName name="CRIT" hidden="1">{#N/A,#N/A,FALSE,"consu_cover";#N/A,#N/A,FALSE,"consu_strategy";#N/A,#N/A,FALSE,"consu_flow";#N/A,#N/A,FALSE,"Summary_reqmt";#N/A,#N/A,FALSE,"field_ppg";#N/A,#N/A,FALSE,"ppg_shop";#N/A,#N/A,FALSE,"strl";#N/A,#N/A,FALSE,"tankages";#N/A,#N/A,FALSE,"gases"}</definedName>
    <definedName name="_xlnm.Criteria" localSheetId="25">#REF!</definedName>
    <definedName name="_xlnm.Criteria" localSheetId="27">#REF!</definedName>
    <definedName name="_xlnm.Criteria">#REF!</definedName>
    <definedName name="CRITICAL" localSheetId="25" hidden="1">{#N/A,#N/A,FALSE,"consu_cover";#N/A,#N/A,FALSE,"consu_strategy";#N/A,#N/A,FALSE,"consu_flow";#N/A,#N/A,FALSE,"Summary_reqmt";#N/A,#N/A,FALSE,"field_ppg";#N/A,#N/A,FALSE,"ppg_shop";#N/A,#N/A,FALSE,"strl";#N/A,#N/A,FALSE,"tankages";#N/A,#N/A,FALSE,"gases"}</definedName>
    <definedName name="CRITICAL" localSheetId="1" hidden="1">{#N/A,#N/A,FALSE,"consu_cover";#N/A,#N/A,FALSE,"consu_strategy";#N/A,#N/A,FALSE,"consu_flow";#N/A,#N/A,FALSE,"Summary_reqmt";#N/A,#N/A,FALSE,"field_ppg";#N/A,#N/A,FALSE,"ppg_shop";#N/A,#N/A,FALSE,"strl";#N/A,#N/A,FALSE,"tankages";#N/A,#N/A,FALSE,"gases"}</definedName>
    <definedName name="CRITICAL" hidden="1">{#N/A,#N/A,FALSE,"consu_cover";#N/A,#N/A,FALSE,"consu_strategy";#N/A,#N/A,FALSE,"consu_flow";#N/A,#N/A,FALSE,"Summary_reqmt";#N/A,#N/A,FALSE,"field_ppg";#N/A,#N/A,FALSE,"ppg_shop";#N/A,#N/A,FALSE,"strl";#N/A,#N/A,FALSE,"tankages";#N/A,#N/A,FALSE,"gases"}</definedName>
    <definedName name="crore" localSheetId="25">#REF!</definedName>
    <definedName name="crore" localSheetId="27">#REF!</definedName>
    <definedName name="crore">#REF!</definedName>
    <definedName name="Crores">10000000</definedName>
    <definedName name="CSMPD" localSheetId="25">#REF!</definedName>
    <definedName name="CSMPD" localSheetId="27">#REF!</definedName>
    <definedName name="CSMPD">#REF!</definedName>
    <definedName name="CURR_LIB" localSheetId="15">#REF!</definedName>
    <definedName name="CURR_LIB" localSheetId="29">#REF!</definedName>
    <definedName name="CURR_LIB" localSheetId="35">#REF!</definedName>
    <definedName name="CURR_LIB" localSheetId="23">#REF!</definedName>
    <definedName name="CURR_LIB" localSheetId="25">#REF!</definedName>
    <definedName name="CURR_LIB" localSheetId="27">#REF!</definedName>
    <definedName name="CURR_LIB" localSheetId="56">#REF!</definedName>
    <definedName name="CURR_LIB">#REF!</definedName>
    <definedName name="Current">#REF!</definedName>
    <definedName name="CURVE" localSheetId="25" hidden="1">{#N/A,#N/A,FALSE,"COVER1.XLS ";#N/A,#N/A,FALSE,"RACT1.XLS";#N/A,#N/A,FALSE,"RACT2.XLS";#N/A,#N/A,FALSE,"ECCMP";#N/A,#N/A,FALSE,"WELDER.XLS"}</definedName>
    <definedName name="CURVE" localSheetId="1" hidden="1">{#N/A,#N/A,FALSE,"COVER1.XLS ";#N/A,#N/A,FALSE,"RACT1.XLS";#N/A,#N/A,FALSE,"RACT2.XLS";#N/A,#N/A,FALSE,"ECCMP";#N/A,#N/A,FALSE,"WELDER.XLS"}</definedName>
    <definedName name="CURVE" hidden="1">{#N/A,#N/A,FALSE,"COVER1.XLS ";#N/A,#N/A,FALSE,"RACT1.XLS";#N/A,#N/A,FALSE,"RACT2.XLS";#N/A,#N/A,FALSE,"ECCMP";#N/A,#N/A,FALSE,"WELDER.XLS"}</definedName>
    <definedName name="CustFY03" localSheetId="29">#REF!</definedName>
    <definedName name="CustFY03" localSheetId="23">#REF!</definedName>
    <definedName name="CustFY03" localSheetId="25">#REF!</definedName>
    <definedName name="CustFY03" localSheetId="27">#REF!</definedName>
    <definedName name="CustFY03">#REF!</definedName>
    <definedName name="cwipcaprate1" localSheetId="25">#REF!</definedName>
    <definedName name="cwipcaprate1" localSheetId="27">#REF!</definedName>
    <definedName name="cwipcaprate1">#REF!</definedName>
    <definedName name="cwipcaprate2" localSheetId="27">#REF!</definedName>
    <definedName name="cwipcaprate2">#REF!</definedName>
    <definedName name="cwipcaprate3" localSheetId="27">#REF!</definedName>
    <definedName name="cwipcaprate3">#REF!</definedName>
    <definedName name="D">#N/A</definedName>
    <definedName name="D_T" localSheetId="25">#REF!</definedName>
    <definedName name="D_T" localSheetId="27">#REF!</definedName>
    <definedName name="D_T">#REF!</definedName>
    <definedName name="Data" localSheetId="25">#REF!</definedName>
    <definedName name="Data">#REF!</definedName>
    <definedName name="Data1" localSheetId="25">#REF!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9">#REF!</definedName>
    <definedName name="Data2">#REF!</definedName>
    <definedName name="DATA20">#REF!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dataarea">#REF!</definedName>
    <definedName name="_xlnm.Database" localSheetId="15">#REF!</definedName>
    <definedName name="_xlnm.Database" localSheetId="29">#REF!</definedName>
    <definedName name="_xlnm.Database" localSheetId="35">#REF!</definedName>
    <definedName name="_xlnm.Database" localSheetId="23">#REF!</definedName>
    <definedName name="_xlnm.Database" localSheetId="25">#REF!</definedName>
    <definedName name="_xlnm.Database" localSheetId="27">#REF!</definedName>
    <definedName name="_xlnm.Database" localSheetId="56">#REF!</definedName>
    <definedName name="_xlnm.Database">#REF!</definedName>
    <definedName name="DateTimeStamp" localSheetId="27">#REF!</definedName>
    <definedName name="DateTimeStamp">#REF!</definedName>
    <definedName name="DB_EDiv" localSheetId="29">#REF!</definedName>
    <definedName name="DB_EDiv" localSheetId="23">#REF!</definedName>
    <definedName name="DB_EDiv" localSheetId="25">#REF!</definedName>
    <definedName name="DB_EDiv" localSheetId="27">#REF!</definedName>
    <definedName name="DB_EDiv">#REF!</definedName>
    <definedName name="DB_PDist" localSheetId="25">#REF!</definedName>
    <definedName name="DB_PDist" localSheetId="27">#REF!</definedName>
    <definedName name="DB_PDist">#REF!</definedName>
    <definedName name="DB_PDiv" localSheetId="25">#REF!</definedName>
    <definedName name="DB_PDiv" localSheetId="27">#REF!</definedName>
    <definedName name="DB_PDiv">#REF!</definedName>
    <definedName name="DBFY03" localSheetId="29">#REF!</definedName>
    <definedName name="DBFY03" localSheetId="35">#REF!</definedName>
    <definedName name="DBFY03" localSheetId="23">#REF!</definedName>
    <definedName name="DBFY03" localSheetId="25">#REF!</definedName>
    <definedName name="DBFY03" localSheetId="27">#REF!</definedName>
    <definedName name="DBFY03" localSheetId="57">#REF!</definedName>
    <definedName name="DBFY03">#REF!</definedName>
    <definedName name="dbn_assts" localSheetId="25">#REF!</definedName>
    <definedName name="dbn_assts" localSheetId="27">#REF!</definedName>
    <definedName name="dbn_assts">#REF!</definedName>
    <definedName name="dcd" localSheetId="29">#REF!</definedName>
    <definedName name="dcd" localSheetId="35">#REF!</definedName>
    <definedName name="dcd" localSheetId="23">#REF!</definedName>
    <definedName name="dcd" localSheetId="25">#REF!</definedName>
    <definedName name="dcd" localSheetId="27">#REF!</definedName>
    <definedName name="dcd" localSheetId="57">#REF!</definedName>
    <definedName name="dcd">#REF!</definedName>
    <definedName name="dd" localSheetId="25">#REF!</definedName>
    <definedName name="dd" localSheetId="27">#REF!</definedName>
    <definedName name="dd">#REF!</definedName>
    <definedName name="DDDD" localSheetId="27">#REF!</definedName>
    <definedName name="DDDD">#REF!</definedName>
    <definedName name="dddddddddddddd" localSheetId="27">#REF!</definedName>
    <definedName name="dddddddddddddd">#REF!</definedName>
    <definedName name="dddddddddddddddddddd" localSheetId="27">#REF!</definedName>
    <definedName name="dddddddddddddddddddd">#REF!</definedName>
    <definedName name="ddddddddfffff" localSheetId="27">#REF!</definedName>
    <definedName name="ddddddddfffff">#REF!</definedName>
    <definedName name="ddffffff" localSheetId="27">#REF!</definedName>
    <definedName name="ddffffff">#REF!</definedName>
    <definedName name="DdPF" localSheetId="29">#REF!</definedName>
    <definedName name="DdPF" localSheetId="35">#REF!</definedName>
    <definedName name="DdPF" localSheetId="23">#REF!</definedName>
    <definedName name="DdPF" localSheetId="25">#REF!</definedName>
    <definedName name="DdPF" localSheetId="27">#REF!</definedName>
    <definedName name="DdPF">#REF!</definedName>
    <definedName name="Debtors">#REF!</definedName>
    <definedName name="Demographic_data" localSheetId="27">#REF!</definedName>
    <definedName name="Demographic_data">#REF!</definedName>
    <definedName name="DER" localSheetId="25" hidden="1">{#N/A,#N/A,FALSE,"COVER.XLS";#N/A,#N/A,FALSE,"RACT1.XLS";#N/A,#N/A,FALSE,"RACT2.XLS";#N/A,#N/A,FALSE,"ECCMP";#N/A,#N/A,FALSE,"WELDER.XLS"}</definedName>
    <definedName name="DER" localSheetId="1" hidden="1">{#N/A,#N/A,FALSE,"COVER.XLS";#N/A,#N/A,FALSE,"RACT1.XLS";#N/A,#N/A,FALSE,"RACT2.XLS";#N/A,#N/A,FALSE,"ECCMP";#N/A,#N/A,FALSE,"WELDER.XLS"}</definedName>
    <definedName name="DER" hidden="1">{#N/A,#N/A,FALSE,"COVER.XLS";#N/A,#N/A,FALSE,"RACT1.XLS";#N/A,#N/A,FALSE,"RACT2.XLS";#N/A,#N/A,FALSE,"ECCMP";#N/A,#N/A,FALSE,"WELDER.XLS"}</definedName>
    <definedName name="DERC" localSheetId="25" hidden="1">{#N/A,#N/A,FALSE,"COVER1.XLS ";#N/A,#N/A,FALSE,"RACT1.XLS";#N/A,#N/A,FALSE,"RACT2.XLS";#N/A,#N/A,FALSE,"ECCMP";#N/A,#N/A,FALSE,"WELDER.XLS"}</definedName>
    <definedName name="DERC" localSheetId="1" hidden="1">{#N/A,#N/A,FALSE,"COVER1.XLS ";#N/A,#N/A,FALSE,"RACT1.XLS";#N/A,#N/A,FALSE,"RACT2.XLS";#N/A,#N/A,FALSE,"ECCMP";#N/A,#N/A,FALSE,"WELDER.XLS"}</definedName>
    <definedName name="DERC" hidden="1">{#N/A,#N/A,FALSE,"COVER1.XLS ";#N/A,#N/A,FALSE,"RACT1.XLS";#N/A,#N/A,FALSE,"RACT2.XLS";#N/A,#N/A,FALSE,"ECCMP";#N/A,#N/A,FALSE,"WELDER.XLS"}</definedName>
    <definedName name="DETAILS1_ADDRESS" localSheetId="25" hidden="1">#REF!</definedName>
    <definedName name="DETAILS1_ADDRESS" localSheetId="27" hidden="1">#REF!</definedName>
    <definedName name="DETAILS1_ADDRESS" hidden="1">#REF!</definedName>
    <definedName name="DETAILS1_FINYEAR" localSheetId="25" hidden="1">#REF!</definedName>
    <definedName name="DETAILS1_FINYEAR" localSheetId="27" hidden="1">#REF!</definedName>
    <definedName name="DETAILS1_FINYEAR" hidden="1">#REF!</definedName>
    <definedName name="DETAILS1_PFNO" localSheetId="25" hidden="1">#REF!</definedName>
    <definedName name="DETAILS1_PFNO" localSheetId="27" hidden="1">#REF!</definedName>
    <definedName name="DETAILS1_PFNO" hidden="1">#REF!</definedName>
    <definedName name="DETAILS2_AC21RATE" localSheetId="25" hidden="1">#REF!</definedName>
    <definedName name="DETAILS2_AC21RATE" localSheetId="27" hidden="1">#REF!</definedName>
    <definedName name="DETAILS2_AC21RATE" hidden="1">#REF!</definedName>
    <definedName name="DETAILS2_AC22RATE" localSheetId="25" hidden="1">#REF!</definedName>
    <definedName name="DETAILS2_AC22RATE" localSheetId="27" hidden="1">#REF!</definedName>
    <definedName name="DETAILS2_AC22RATE" hidden="1">#REF!</definedName>
    <definedName name="DETAILS2_CNT" localSheetId="25" hidden="1">#REF!</definedName>
    <definedName name="DETAILS2_CNT" localSheetId="27" hidden="1">#REF!</definedName>
    <definedName name="DETAILS2_CNT" hidden="1">#REF!</definedName>
    <definedName name="DETAILS2_EMPRATE" localSheetId="25" hidden="1">#REF!</definedName>
    <definedName name="DETAILS2_EMPRATE" localSheetId="27" hidden="1">#REF!</definedName>
    <definedName name="DETAILS2_EMPRATE" hidden="1">#REF!</definedName>
    <definedName name="DETAILS2_SATRATE" localSheetId="25" hidden="1">#REF!</definedName>
    <definedName name="DETAILS2_SATRATE" localSheetId="27" hidden="1">#REF!</definedName>
    <definedName name="DETAILS2_SATRATE" hidden="1">#REF!</definedName>
    <definedName name="DETAILS2_TOT" localSheetId="25" hidden="1">#REF!</definedName>
    <definedName name="DETAILS2_TOT" localSheetId="27" hidden="1">#REF!</definedName>
    <definedName name="DETAILS2_TOT" hidden="1">#REF!</definedName>
    <definedName name="Device" localSheetId="25">#REF!</definedName>
    <definedName name="Device" localSheetId="27">#REF!</definedName>
    <definedName name="Device">#REF!</definedName>
    <definedName name="df" localSheetId="25"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dsfd" localSheetId="25">#REF!</definedName>
    <definedName name="dfdsfd" localSheetId="27">#REF!</definedName>
    <definedName name="dfdsfd">#REF!</definedName>
    <definedName name="dgfgfd" localSheetId="25" hidden="1">{#N/A,#N/A,FALSE,"COVER.XLS";#N/A,#N/A,FALSE,"RACT1.XLS";#N/A,#N/A,FALSE,"RACT2.XLS";#N/A,#N/A,FALSE,"ECCMP";#N/A,#N/A,FALSE,"WELDER.XLS"}</definedName>
    <definedName name="dgfgfd" localSheetId="1" hidden="1">{#N/A,#N/A,FALSE,"COVER.XLS";#N/A,#N/A,FALSE,"RACT1.XLS";#N/A,#N/A,FALSE,"RACT2.XLS";#N/A,#N/A,FALSE,"ECCMP";#N/A,#N/A,FALSE,"WELDER.XLS"}</definedName>
    <definedName name="dgfgfd" hidden="1">{#N/A,#N/A,FALSE,"COVER.XLS";#N/A,#N/A,FALSE,"RACT1.XLS";#N/A,#N/A,FALSE,"RACT2.XLS";#N/A,#N/A,FALSE,"ECCMP";#N/A,#N/A,FALSE,"WELDER.XLS"}</definedName>
    <definedName name="Discom1F1" localSheetId="29">#REF!</definedName>
    <definedName name="Discom1F1" localSheetId="35">#REF!</definedName>
    <definedName name="Discom1F1" localSheetId="23">#REF!</definedName>
    <definedName name="Discom1F1" localSheetId="25">#REF!</definedName>
    <definedName name="Discom1F1" localSheetId="27">#REF!</definedName>
    <definedName name="Discom1F1" localSheetId="57">#REF!</definedName>
    <definedName name="Discom1F1">#REF!</definedName>
    <definedName name="Discom1F2" localSheetId="29">#REF!</definedName>
    <definedName name="Discom1F2" localSheetId="23">#REF!</definedName>
    <definedName name="Discom1F2" localSheetId="25">#REF!</definedName>
    <definedName name="Discom1F2" localSheetId="27">#REF!</definedName>
    <definedName name="Discom1F2">#REF!</definedName>
    <definedName name="Discom1F3" localSheetId="29">#REF!</definedName>
    <definedName name="Discom1F3" localSheetId="23">#REF!</definedName>
    <definedName name="Discom1F3" localSheetId="25">#REF!</definedName>
    <definedName name="Discom1F3" localSheetId="27">#REF!</definedName>
    <definedName name="Discom1F3">#REF!</definedName>
    <definedName name="Discom1F4" localSheetId="27">#REF!</definedName>
    <definedName name="Discom1F4">#REF!</definedName>
    <definedName name="Discom1F6" localSheetId="15">#REF!</definedName>
    <definedName name="Discom1F6" localSheetId="27">#REF!</definedName>
    <definedName name="Discom1F6" localSheetId="56">#REF!</definedName>
    <definedName name="Discom1F6">#REF!</definedName>
    <definedName name="discom1s" localSheetId="27">#REF!</definedName>
    <definedName name="discom1s">#REF!</definedName>
    <definedName name="Discom2F1" localSheetId="15">#REF!</definedName>
    <definedName name="Discom2F1" localSheetId="27">#REF!</definedName>
    <definedName name="Discom2F1" localSheetId="56">#REF!</definedName>
    <definedName name="Discom2F1">#REF!</definedName>
    <definedName name="Discom2F2" localSheetId="15">#REF!</definedName>
    <definedName name="Discom2F2" localSheetId="27">#REF!</definedName>
    <definedName name="Discom2F2" localSheetId="56">#REF!</definedName>
    <definedName name="Discom2F2">#REF!</definedName>
    <definedName name="Discom2F3" localSheetId="27">#REF!</definedName>
    <definedName name="Discom2F3">#REF!</definedName>
    <definedName name="Discom2F4" localSheetId="27">#REF!</definedName>
    <definedName name="Discom2F4">#REF!</definedName>
    <definedName name="Discom2F6" localSheetId="27">#REF!</definedName>
    <definedName name="Discom2F6">#REF!</definedName>
    <definedName name="DIV" localSheetId="27">#REF!</definedName>
    <definedName name="DIV">#REF!</definedName>
    <definedName name="DivTB" localSheetId="27">#REF!</definedName>
    <definedName name="DivTB">#REF!</definedName>
    <definedName name="Documents_array">#REF!</definedName>
    <definedName name="dom" localSheetId="27">#REF!</definedName>
    <definedName name="dom">#REF!</definedName>
    <definedName name="dpc" localSheetId="25">#REF!</definedName>
    <definedName name="dpc" localSheetId="27">#REF!</definedName>
    <definedName name="dpc">#REF!</definedName>
    <definedName name="dr" localSheetId="25" hidden="1">{#N/A,#N/A,FALSE,"COVER1.XLS ";#N/A,#N/A,FALSE,"RACT1.XLS";#N/A,#N/A,FALSE,"RACT2.XLS";#N/A,#N/A,FALSE,"ECCMP";#N/A,#N/A,FALSE,"WELDER.XLS"}</definedName>
    <definedName name="dr" localSheetId="1" hidden="1">{#N/A,#N/A,FALSE,"COVER1.XLS ";#N/A,#N/A,FALSE,"RACT1.XLS";#N/A,#N/A,FALSE,"RACT2.XLS";#N/A,#N/A,FALSE,"ECCMP";#N/A,#N/A,FALSE,"WELDER.XLS"}</definedName>
    <definedName name="dr" hidden="1">{#N/A,#N/A,FALSE,"COVER1.XLS ";#N/A,#N/A,FALSE,"RACT1.XLS";#N/A,#N/A,FALSE,"RACT2.XLS";#N/A,#N/A,FALSE,"ECCMP";#N/A,#N/A,FALSE,"WELDER.XLS"}</definedName>
    <definedName name="ds" localSheetId="25" hidden="1">{#N/A,#N/A,FALSE,"1.1";#N/A,#N/A,FALSE,"1.1a";#N/A,#N/A,FALSE,"1.1b";#N/A,#N/A,FALSE,"1.1c";#N/A,#N/A,FALSE,"1.1e";#N/A,#N/A,FALSE,"1.1f";#N/A,#N/A,FALSE,"1.1g";#N/A,#N/A,FALSE,"1.1h_T";#N/A,#N/A,FALSE,"1.1h_D";#N/A,#N/A,FALSE,"1.2";#N/A,#N/A,FALSE,"1.3";#N/A,#N/A,FALSE,"1.3b";#N/A,#N/A,FALSE,"1.4";#N/A,#N/A,FALSE,"1.5";#N/A,#N/A,FALSE,"1.6";#N/A,#N/A,FALSE,"2.1";#N/A,#N/A,FALSE,"SOD";#N/A,#N/A,FALSE,"OL";#N/A,#N/A,FALSE,"CF"}</definedName>
    <definedName name="ds" localSheetId="1" hidden="1">{#N/A,#N/A,FALSE,"1.1";#N/A,#N/A,FALSE,"1.1a";#N/A,#N/A,FALSE,"1.1b";#N/A,#N/A,FALSE,"1.1c";#N/A,#N/A,FALSE,"1.1e";#N/A,#N/A,FALSE,"1.1f";#N/A,#N/A,FALSE,"1.1g";#N/A,#N/A,FALSE,"1.1h_T";#N/A,#N/A,FALSE,"1.1h_D";#N/A,#N/A,FALSE,"1.2";#N/A,#N/A,FALSE,"1.3";#N/A,#N/A,FALSE,"1.3b";#N/A,#N/A,FALSE,"1.4";#N/A,#N/A,FALSE,"1.5";#N/A,#N/A,FALSE,"1.6";#N/A,#N/A,FALSE,"2.1";#N/A,#N/A,FALSE,"SOD";#N/A,#N/A,FALSE,"OL";#N/A,#N/A,FALSE,"CF"}</definedName>
    <definedName name="ds" hidden="1">{#N/A,#N/A,FALSE,"1.1";#N/A,#N/A,FALSE,"1.1a";#N/A,#N/A,FALSE,"1.1b";#N/A,#N/A,FALSE,"1.1c";#N/A,#N/A,FALSE,"1.1e";#N/A,#N/A,FALSE,"1.1f";#N/A,#N/A,FALSE,"1.1g";#N/A,#N/A,FALSE,"1.1h_T";#N/A,#N/A,FALSE,"1.1h_D";#N/A,#N/A,FALSE,"1.2";#N/A,#N/A,FALSE,"1.3";#N/A,#N/A,FALSE,"1.3b";#N/A,#N/A,FALSE,"1.4";#N/A,#N/A,FALSE,"1.5";#N/A,#N/A,FALSE,"1.6";#N/A,#N/A,FALSE,"2.1";#N/A,#N/A,FALSE,"SOD";#N/A,#N/A,FALSE,"OL";#N/A,#N/A,FALSE,"CF"}</definedName>
    <definedName name="dsds" localSheetId="25">#REF!</definedName>
    <definedName name="dsds" localSheetId="27">#REF!</definedName>
    <definedName name="dsds">#REF!</definedName>
    <definedName name="DSGDSGDHF" localSheetId="25">#REF!</definedName>
    <definedName name="DSGDSGDHF">#REF!</definedName>
    <definedName name="dt" localSheetId="25" hidden="1">{#N/A,#N/A,FALSE,"COVER1.XLS ";#N/A,#N/A,FALSE,"RACT1.XLS";#N/A,#N/A,FALSE,"RACT2.XLS";#N/A,#N/A,FALSE,"ECCMP";#N/A,#N/A,FALSE,"WELDER.XLS"}</definedName>
    <definedName name="dt" localSheetId="1" hidden="1">{#N/A,#N/A,FALSE,"COVER1.XLS ";#N/A,#N/A,FALSE,"RACT1.XLS";#N/A,#N/A,FALSE,"RACT2.XLS";#N/A,#N/A,FALSE,"ECCMP";#N/A,#N/A,FALSE,"WELDER.XLS"}</definedName>
    <definedName name="dt" hidden="1">{#N/A,#N/A,FALSE,"COVER1.XLS ";#N/A,#N/A,FALSE,"RACT1.XLS";#N/A,#N/A,FALSE,"RACT2.XLS";#N/A,#N/A,FALSE,"ECCMP";#N/A,#N/A,FALSE,"WELDER.XLS"}</definedName>
    <definedName name="E_315MVA_Addl_Page1" localSheetId="15">#REF!</definedName>
    <definedName name="E_315MVA_Addl_Page1" localSheetId="29">#REF!</definedName>
    <definedName name="E_315MVA_Addl_Page1" localSheetId="35">#REF!</definedName>
    <definedName name="E_315MVA_Addl_Page1" localSheetId="38">#REF!</definedName>
    <definedName name="E_315MVA_Addl_Page1" localSheetId="43">#REF!</definedName>
    <definedName name="E_315MVA_Addl_Page1" localSheetId="44">#REF!</definedName>
    <definedName name="E_315MVA_Addl_Page1" localSheetId="21">#REF!</definedName>
    <definedName name="E_315MVA_Addl_Page1" localSheetId="22">#REF!</definedName>
    <definedName name="E_315MVA_Addl_Page1" localSheetId="20">#REF!</definedName>
    <definedName name="E_315MVA_Addl_Page1" localSheetId="23">#REF!</definedName>
    <definedName name="E_315MVA_Addl_Page1" localSheetId="25">#REF!</definedName>
    <definedName name="E_315MVA_Addl_Page1" localSheetId="27">#REF!</definedName>
    <definedName name="E_315MVA_Addl_Page1" localSheetId="56">#REF!</definedName>
    <definedName name="E_315MVA_Addl_Page1">#REF!</definedName>
    <definedName name="E_315MVA_Addl_Page2" localSheetId="29">#REF!</definedName>
    <definedName name="E_315MVA_Addl_Page2" localSheetId="38">#REF!</definedName>
    <definedName name="E_315MVA_Addl_Page2" localSheetId="21">#REF!</definedName>
    <definedName name="E_315MVA_Addl_Page2" localSheetId="22">#REF!</definedName>
    <definedName name="E_315MVA_Addl_Page2" localSheetId="20">#REF!</definedName>
    <definedName name="E_315MVA_Addl_Page2" localSheetId="23">#REF!</definedName>
    <definedName name="E_315MVA_Addl_Page2" localSheetId="25">#REF!</definedName>
    <definedName name="E_315MVA_Addl_Page2" localSheetId="27">#REF!</definedName>
    <definedName name="E_315MVA_Addl_Page2">#REF!</definedName>
    <definedName name="EastAndWest">#REF!,#REF!</definedName>
    <definedName name="ED" localSheetId="27">#REF!</definedName>
    <definedName name="ED">#REF!</definedName>
    <definedName name="End_Bal">#REF!</definedName>
    <definedName name="Energy_sales" localSheetId="27">#REF!</definedName>
    <definedName name="Energy_sales">#REF!</definedName>
    <definedName name="Engg" localSheetId="25" hidden="1">{#N/A,#N/A,FALSE,"COVER.XLS";#N/A,#N/A,FALSE,"RACT1.XLS";#N/A,#N/A,FALSE,"RACT2.XLS";#N/A,#N/A,FALSE,"ECCMP";#N/A,#N/A,FALSE,"WELDER.XLS"}</definedName>
    <definedName name="Engg" localSheetId="1" hidden="1">{#N/A,#N/A,FALSE,"COVER.XLS";#N/A,#N/A,FALSE,"RACT1.XLS";#N/A,#N/A,FALSE,"RACT2.XLS";#N/A,#N/A,FALSE,"ECCMP";#N/A,#N/A,FALSE,"WELDER.XLS"}</definedName>
    <definedName name="Engg" hidden="1">{#N/A,#N/A,FALSE,"COVER.XLS";#N/A,#N/A,FALSE,"RACT1.XLS";#N/A,#N/A,FALSE,"RACT2.XLS";#N/A,#N/A,FALSE,"ECCMP";#N/A,#N/A,FALSE,"WELDER.XLS"}</definedName>
    <definedName name="EnPF" localSheetId="29">#REF!</definedName>
    <definedName name="EnPF" localSheetId="23">#REF!</definedName>
    <definedName name="EnPF" localSheetId="25">#REF!</definedName>
    <definedName name="EnPF" localSheetId="27">#REF!</definedName>
    <definedName name="EnPF">#REF!</definedName>
    <definedName name="Ensuing" localSheetId="25">#REF!</definedName>
    <definedName name="Ensuing">#REF!</definedName>
    <definedName name="ER"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er" localSheetId="1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2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3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2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2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2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1"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56"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5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ror_Types" localSheetId="25">#REF!</definedName>
    <definedName name="Error_Types" localSheetId="27">#REF!</definedName>
    <definedName name="Error_Types">#REF!</definedName>
    <definedName name="Excel_BuiltIn_Print_Area_1_1" localSheetId="25">#REF!</definedName>
    <definedName name="Excel_BuiltIn_Print_Area_1_1">#REF!</definedName>
    <definedName name="Excel_BuiltIn_Print_Area_10" localSheetId="25">#REF!</definedName>
    <definedName name="Excel_BuiltIn_Print_Area_10">#REF!</definedName>
    <definedName name="Excel_BuiltIn_Print_Area_12_1">#REF!</definedName>
    <definedName name="Excel_BuiltIn_Print_Area_12_1_1">#REF!</definedName>
    <definedName name="Excel_BuiltIn_Print_Area_12_1_1_1">#REF!</definedName>
    <definedName name="Excel_BuiltIn_Print_Area_12_1_1_1_1">#REF!</definedName>
    <definedName name="Excel_BuiltIn_Print_Area_12_1_1_1_1_1">#REF!</definedName>
    <definedName name="Excel_BuiltIn_Print_Area_17_1">#REF!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1_1_1_1">#REF!</definedName>
    <definedName name="Excel_BuiltIn_Print_Area_2_1_1_1_1_1">#REF!</definedName>
    <definedName name="Excel_BuiltIn_Print_Area_20">#REF!</definedName>
    <definedName name="Excel_BuiltIn_Print_Area_5_1">#REF!</definedName>
    <definedName name="Excel_BuiltIn_Print_Area_5_1_1">#REF!</definedName>
    <definedName name="Excel_BuiltIn_Print_Area_5_1_1_1">#REF!</definedName>
    <definedName name="Excel_BuiltIn_Print_Area_5_1_1_1_1">#REF!</definedName>
    <definedName name="Excel_BuiltIn_Print_Area_5_1_1_1_1_1">#REF!</definedName>
    <definedName name="Excel_BuiltIn_Print_Area_7_1">#REF!</definedName>
    <definedName name="Excel_BuiltIn_Print_Area_7_1_1">#REF!</definedName>
    <definedName name="Excel_BuiltIn_Print_Area_7_1_1_1">#REF!</definedName>
    <definedName name="Excel_BuiltIn_Print_Area_7_1_1_1_1">#REF!</definedName>
    <definedName name="Excel_BuiltIn_Print_Area_7_1_1_1_1_1">#REF!</definedName>
    <definedName name="Extra_Pay">#REF!</definedName>
    <definedName name="_xlnm.Extract" localSheetId="27">#REF!</definedName>
    <definedName name="_xlnm.Extract">#REF!</definedName>
    <definedName name="f" localSheetId="25">#REF!</definedName>
    <definedName name="f">#REF!</definedName>
    <definedName name="F21ABC"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F21ABC"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F21ABC"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fact" localSheetId="25">#REF!</definedName>
    <definedName name="fact">#REF!</definedName>
    <definedName name="FCIncrease_ARR">#REF!</definedName>
    <definedName name="fco" localSheetId="25">#REF!</definedName>
    <definedName name="fco">#REF!</definedName>
    <definedName name="fdksldls" localSheetId="25">#REF!</definedName>
    <definedName name="fdksldls" localSheetId="27">#REF!</definedName>
    <definedName name="fdksldls">#REF!</definedName>
    <definedName name="fekfjlm" localSheetId="25">#REF!</definedName>
    <definedName name="fekfjlm" localSheetId="27">#REF!</definedName>
    <definedName name="fekfjlm" localSheetId="57">#REF!</definedName>
    <definedName name="fekfjlm">#REF!</definedName>
    <definedName name="ff" localSheetId="27">#REF!</definedName>
    <definedName name="ff">#REF!</definedName>
    <definedName name="fffff" localSheetId="27">#REF!</definedName>
    <definedName name="fffff">#REF!</definedName>
    <definedName name="fg" localSheetId="27">#REF!</definedName>
    <definedName name="fg">#REF!</definedName>
    <definedName name="fkkfkfkedf" localSheetId="27">#REF!</definedName>
    <definedName name="fkkfkfkedf">#REF!</definedName>
    <definedName name="fsadgagaf" localSheetId="25" hidden="1">#REF!</definedName>
    <definedName name="fsadgagaf" hidden="1">#REF!</definedName>
    <definedName name="ft" localSheetId="25" hidden="1">{#N/A,#N/A,FALSE,"COVER.XLS";#N/A,#N/A,FALSE,"RACT1.XLS";#N/A,#N/A,FALSE,"RACT2.XLS";#N/A,#N/A,FALSE,"ECCMP";#N/A,#N/A,FALSE,"WELDER.XLS"}</definedName>
    <definedName name="ft" localSheetId="1" hidden="1">{#N/A,#N/A,FALSE,"COVER.XLS";#N/A,#N/A,FALSE,"RACT1.XLS";#N/A,#N/A,FALSE,"RACT2.XLS";#N/A,#N/A,FALSE,"ECCMP";#N/A,#N/A,FALSE,"WELDER.XLS"}</definedName>
    <definedName name="ft" hidden="1">{#N/A,#N/A,FALSE,"COVER.XLS";#N/A,#N/A,FALSE,"RACT1.XLS";#N/A,#N/A,FALSE,"RACT2.XLS";#N/A,#N/A,FALSE,"ECCMP";#N/A,#N/A,FALSE,"WELDER.XLS"}</definedName>
    <definedName name="Fuel_Exp_CY" localSheetId="15">#REF!</definedName>
    <definedName name="Fuel_Exp_CY" localSheetId="29">#REF!</definedName>
    <definedName name="Fuel_Exp_CY" localSheetId="38">#REF!</definedName>
    <definedName name="Fuel_Exp_CY" localSheetId="21">#REF!</definedName>
    <definedName name="Fuel_Exp_CY" localSheetId="22">#REF!</definedName>
    <definedName name="Fuel_Exp_CY" localSheetId="20">#REF!</definedName>
    <definedName name="Fuel_Exp_CY" localSheetId="23">#REF!</definedName>
    <definedName name="Fuel_Exp_CY" localSheetId="25">#REF!</definedName>
    <definedName name="Fuel_Exp_CY" localSheetId="27">#REF!</definedName>
    <definedName name="Fuel_Exp_CY" localSheetId="56">#REF!</definedName>
    <definedName name="Fuel_Exp_CY">#REF!</definedName>
    <definedName name="Fuel_Exp_EY" localSheetId="29">#REF!</definedName>
    <definedName name="Fuel_Exp_EY" localSheetId="38">#REF!</definedName>
    <definedName name="Fuel_Exp_EY" localSheetId="21">#REF!</definedName>
    <definedName name="Fuel_Exp_EY" localSheetId="22">#REF!</definedName>
    <definedName name="Fuel_Exp_EY" localSheetId="20">#REF!</definedName>
    <definedName name="Fuel_Exp_EY" localSheetId="23">#REF!</definedName>
    <definedName name="Fuel_Exp_EY" localSheetId="25">#REF!</definedName>
    <definedName name="Fuel_Exp_EY" localSheetId="27">#REF!</definedName>
    <definedName name="Fuel_Exp_EY">#REF!</definedName>
    <definedName name="Fuel_Exp_PY" localSheetId="38">#REF!</definedName>
    <definedName name="Fuel_Exp_PY" localSheetId="21">#REF!</definedName>
    <definedName name="Fuel_Exp_PY" localSheetId="22">#REF!</definedName>
    <definedName name="Fuel_Exp_PY" localSheetId="20">#REF!</definedName>
    <definedName name="Fuel_Exp_PY" localSheetId="23">#REF!</definedName>
    <definedName name="Fuel_Exp_PY" localSheetId="25">#REF!</definedName>
    <definedName name="Fuel_Exp_PY" localSheetId="27">#REF!</definedName>
    <definedName name="Fuel_Exp_PY">#REF!</definedName>
    <definedName name="Full_Print">#REF!</definedName>
    <definedName name="g" localSheetId="27">#REF!</definedName>
    <definedName name="g">#REF!</definedName>
    <definedName name="GENPUF" localSheetId="27">#REF!</definedName>
    <definedName name="GENPUF">#REF!</definedName>
    <definedName name="GGFBGHJHDJJHJ" localSheetId="27">#REF!</definedName>
    <definedName name="GGFBGHJHDJJHJ">#REF!</definedName>
    <definedName name="ggg" localSheetId="27">#REF!</definedName>
    <definedName name="ggg">#REF!</definedName>
    <definedName name="gggggggg" localSheetId="27">#REF!</definedName>
    <definedName name="gggggggg">#REF!</definedName>
    <definedName name="GH" localSheetId="27">#REF!</definedName>
    <definedName name="GH">#REF!</definedName>
    <definedName name="ghdgjh" localSheetId="25" hidden="1">#REF!</definedName>
    <definedName name="ghdgjh" localSheetId="27" hidden="1">#REF!</definedName>
    <definedName name="ghdgjh" hidden="1">#REF!</definedName>
    <definedName name="ghhhghhh" localSheetId="15">#REF!</definedName>
    <definedName name="ghhhghhh" localSheetId="35">#REF!</definedName>
    <definedName name="ghhhghhh" localSheetId="25">#REF!</definedName>
    <definedName name="ghhhghhh" localSheetId="27">#REF!</definedName>
    <definedName name="ghhhghhh" localSheetId="56">#REF!</definedName>
    <definedName name="ghhhghhh" localSheetId="57">#REF!</definedName>
    <definedName name="ghhhghhh">#REF!</definedName>
    <definedName name="gjjjj" localSheetId="25">#REF!</definedName>
    <definedName name="gjjjj" localSheetId="27">#REF!</definedName>
    <definedName name="gjjjj">#REF!</definedName>
    <definedName name="GRBLOCK" localSheetId="15">#REF!</definedName>
    <definedName name="GRBLOCK" localSheetId="29">#REF!</definedName>
    <definedName name="GRBLOCK" localSheetId="35">#REF!</definedName>
    <definedName name="GRBLOCK" localSheetId="23">#REF!</definedName>
    <definedName name="GRBLOCK" localSheetId="25">#REF!</definedName>
    <definedName name="GRBLOCK" localSheetId="27">#REF!</definedName>
    <definedName name="GRBLOCK" localSheetId="56">#REF!</definedName>
    <definedName name="GRBLOCK">#REF!</definedName>
    <definedName name="group" localSheetId="1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2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3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2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2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2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1"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56"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5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urmeet" localSheetId="25" hidden="1">{#N/A,#N/A,FALSE,"COVER.XLS";#N/A,#N/A,FALSE,"RACT1.XLS";#N/A,#N/A,FALSE,"RACT2.XLS";#N/A,#N/A,FALSE,"ECCMP";#N/A,#N/A,FALSE,"WELDER.XLS"}</definedName>
    <definedName name="gurmeet" localSheetId="1" hidden="1">{#N/A,#N/A,FALSE,"COVER.XLS";#N/A,#N/A,FALSE,"RACT1.XLS";#N/A,#N/A,FALSE,"RACT2.XLS";#N/A,#N/A,FALSE,"ECCMP";#N/A,#N/A,FALSE,"WELDER.XLS"}</definedName>
    <definedName name="gurmeet" hidden="1">{#N/A,#N/A,FALSE,"COVER.XLS";#N/A,#N/A,FALSE,"RACT1.XLS";#N/A,#N/A,FALSE,"RACT2.XLS";#N/A,#N/A,FALSE,"ECCMP";#N/A,#N/A,FALSE,"WELDER.XLS"}</definedName>
    <definedName name="h" localSheetId="25">#REF!</definedName>
    <definedName name="h" localSheetId="27">#REF!</definedName>
    <definedName name="h">#REF!</definedName>
    <definedName name="H1SalesPercent">#REF!</definedName>
    <definedName name="H2_Months">#REF!</definedName>
    <definedName name="hdgfahsgfh" localSheetId="25">#REF!</definedName>
    <definedName name="hdgfahsgfh">#REF!</definedName>
    <definedName name="Header_Row">ROW(#REF!)</definedName>
    <definedName name="Hello">#REF!</definedName>
    <definedName name="HFOHSD" localSheetId="27">#REF!</definedName>
    <definedName name="HFOHSD">#REF!</definedName>
    <definedName name="HGHGHGHGH" localSheetId="25" hidden="1">#REF!</definedName>
    <definedName name="HGHGHGHGH" localSheetId="27" hidden="1">#REF!</definedName>
    <definedName name="HGHGHGHGH" hidden="1">#REF!</definedName>
    <definedName name="hhhhhhhhfff" localSheetId="27">#REF!</definedName>
    <definedName name="hhhhhhhhfff">#REF!</definedName>
    <definedName name="hhhhhhhhhhhhhhhhhh" localSheetId="27">#REF!</definedName>
    <definedName name="hhhhhhhhhhhhhhhhhh">#REF!</definedName>
    <definedName name="hj">#REF!</definedName>
    <definedName name="Horizontal_Not_Selected" localSheetId="27">#REF!</definedName>
    <definedName name="Horizontal_Not_Selected">#REF!</definedName>
    <definedName name="hpgclPLF">#REF!</definedName>
    <definedName name="hundred" localSheetId="25">#REF!</definedName>
    <definedName name="hundred" localSheetId="27">#REF!</definedName>
    <definedName name="hundred">#REF!</definedName>
    <definedName name="HV2LF" localSheetId="29">#REF!</definedName>
    <definedName name="HV2LF" localSheetId="35">#REF!</definedName>
    <definedName name="HV2LF" localSheetId="23">#REF!</definedName>
    <definedName name="HV2LF" localSheetId="25">#REF!</definedName>
    <definedName name="HV2LF" localSheetId="27">#REF!</definedName>
    <definedName name="HV2LF">#REF!</definedName>
    <definedName name="HV2PF" localSheetId="29">#REF!</definedName>
    <definedName name="HV2PF" localSheetId="35">#REF!</definedName>
    <definedName name="HV2PF" localSheetId="23">#REF!</definedName>
    <definedName name="HV2PF" localSheetId="25">#REF!</definedName>
    <definedName name="HV2PF" localSheetId="27">#REF!</definedName>
    <definedName name="HV2PF">#REF!</definedName>
    <definedName name="hydroPLF">#REF!</definedName>
    <definedName name="i" localSheetId="29">#REF!</definedName>
    <definedName name="i" localSheetId="35">#REF!</definedName>
    <definedName name="i" localSheetId="23">#REF!</definedName>
    <definedName name="i" localSheetId="25">#REF!</definedName>
    <definedName name="i" localSheetId="27">#REF!</definedName>
    <definedName name="i">#REF!</definedName>
    <definedName name="II"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I"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I"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 localSheetId="25">#REF!</definedName>
    <definedName name="IN" localSheetId="27">#REF!</definedName>
    <definedName name="IN">#REF!</definedName>
    <definedName name="IND" localSheetId="25">#REF!</definedName>
    <definedName name="IND">#REF!</definedName>
    <definedName name="inflationrate" localSheetId="25">#REF!</definedName>
    <definedName name="inflationrate" localSheetId="27">#REF!</definedName>
    <definedName name="inflationrate">#REF!</definedName>
    <definedName name="InputPO">#REF!</definedName>
    <definedName name="InSTSEscalation">#REF!</definedName>
    <definedName name="INT" localSheetId="25" hidden="1">{#N/A,#N/A,FALSE,"1.1";#N/A,#N/A,FALSE,"1.1a";#N/A,#N/A,FALSE,"1.1b";#N/A,#N/A,FALSE,"1.1c";#N/A,#N/A,FALSE,"1.1e";#N/A,#N/A,FALSE,"1.1f";#N/A,#N/A,FALSE,"1.1g";#N/A,#N/A,FALSE,"1.1h_T";#N/A,#N/A,FALSE,"1.1h_D";#N/A,#N/A,FALSE,"1.2";#N/A,#N/A,FALSE,"1.3";#N/A,#N/A,FALSE,"1.3b";#N/A,#N/A,FALSE,"1.4";#N/A,#N/A,FALSE,"1.5";#N/A,#N/A,FALSE,"1.6";#N/A,#N/A,FALSE,"2.1";#N/A,#N/A,FALSE,"SOD";#N/A,#N/A,FALSE,"OL";#N/A,#N/A,FALSE,"CF"}</definedName>
    <definedName name="INT" localSheetId="1" hidden="1">{#N/A,#N/A,FALSE,"1.1";#N/A,#N/A,FALSE,"1.1a";#N/A,#N/A,FALSE,"1.1b";#N/A,#N/A,FALSE,"1.1c";#N/A,#N/A,FALSE,"1.1e";#N/A,#N/A,FALSE,"1.1f";#N/A,#N/A,FALSE,"1.1g";#N/A,#N/A,FALSE,"1.1h_T";#N/A,#N/A,FALSE,"1.1h_D";#N/A,#N/A,FALSE,"1.2";#N/A,#N/A,FALSE,"1.3";#N/A,#N/A,FALSE,"1.3b";#N/A,#N/A,FALSE,"1.4";#N/A,#N/A,FALSE,"1.5";#N/A,#N/A,FALSE,"1.6";#N/A,#N/A,FALSE,"2.1";#N/A,#N/A,FALSE,"SOD";#N/A,#N/A,FALSE,"OL";#N/A,#N/A,FALSE,"CF"}</definedName>
    <definedName name="INT" hidden="1">{#N/A,#N/A,FALSE,"1.1";#N/A,#N/A,FALSE,"1.1a";#N/A,#N/A,FALSE,"1.1b";#N/A,#N/A,FALSE,"1.1c";#N/A,#N/A,FALSE,"1.1e";#N/A,#N/A,FALSE,"1.1f";#N/A,#N/A,FALSE,"1.1g";#N/A,#N/A,FALSE,"1.1h_T";#N/A,#N/A,FALSE,"1.1h_D";#N/A,#N/A,FALSE,"1.2";#N/A,#N/A,FALSE,"1.3";#N/A,#N/A,FALSE,"1.3b";#N/A,#N/A,FALSE,"1.4";#N/A,#N/A,FALSE,"1.5";#N/A,#N/A,FALSE,"1.6";#N/A,#N/A,FALSE,"2.1";#N/A,#N/A,FALSE,"SOD";#N/A,#N/A,FALSE,"OL";#N/A,#N/A,FALSE,"CF"}</definedName>
    <definedName name="interest"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_Rate" localSheetId="25">#REF!</definedName>
    <definedName name="Interest_Rate">#REF!</definedName>
    <definedName name="IntraLoss">#REF!</definedName>
    <definedName name="Intt_Charge_cY" localSheetId="15">#REF!,#REF!</definedName>
    <definedName name="Intt_Charge_cY" localSheetId="29">#REF!,#REF!</definedName>
    <definedName name="Intt_Charge_cY" localSheetId="35">#REF!,#REF!</definedName>
    <definedName name="Intt_Charge_cY" localSheetId="38">#REF!,#REF!</definedName>
    <definedName name="Intt_Charge_cY" localSheetId="43">#REF!,#REF!</definedName>
    <definedName name="Intt_Charge_cY" localSheetId="44">#REF!,#REF!</definedName>
    <definedName name="Intt_Charge_cY" localSheetId="21">#REF!,#REF!</definedName>
    <definedName name="Intt_Charge_cY" localSheetId="22">#REF!,#REF!</definedName>
    <definedName name="Intt_Charge_cY" localSheetId="20">#REF!,#REF!</definedName>
    <definedName name="Intt_Charge_cY" localSheetId="23">#REF!,#REF!</definedName>
    <definedName name="Intt_Charge_cY" localSheetId="25">#REF!,#REF!</definedName>
    <definedName name="Intt_Charge_cY" localSheetId="27">#REF!,#REF!</definedName>
    <definedName name="Intt_Charge_cY" localSheetId="56">#REF!,#REF!</definedName>
    <definedName name="Intt_Charge_cY">#REF!,#REF!</definedName>
    <definedName name="Intt_Charge_cy_1" localSheetId="15">#REF!,#REF!</definedName>
    <definedName name="Intt_Charge_cy_1" localSheetId="35">#REF!,#REF!</definedName>
    <definedName name="Intt_Charge_cy_1" localSheetId="21">#REF!,#REF!</definedName>
    <definedName name="Intt_Charge_cy_1" localSheetId="22">#REF!,#REF!</definedName>
    <definedName name="Intt_Charge_cy_1" localSheetId="20">#REF!,#REF!</definedName>
    <definedName name="Intt_Charge_cy_1" localSheetId="23">#REF!,#REF!</definedName>
    <definedName name="Intt_Charge_cy_1" localSheetId="25">#REF!,#REF!</definedName>
    <definedName name="Intt_Charge_cy_1" localSheetId="27">#REF!,#REF!</definedName>
    <definedName name="Intt_Charge_cy_1" localSheetId="56">#REF!,#REF!</definedName>
    <definedName name="Intt_Charge_cy_1" localSheetId="57">#REF!,#REF!</definedName>
    <definedName name="Intt_Charge_cy_1">#REF!,#REF!</definedName>
    <definedName name="Intt_Charge_eY" localSheetId="29">#REF!,#REF!</definedName>
    <definedName name="Intt_Charge_eY" localSheetId="35">#REF!,#REF!</definedName>
    <definedName name="Intt_Charge_eY" localSheetId="38">#REF!,#REF!</definedName>
    <definedName name="Intt_Charge_eY" localSheetId="43">#REF!,#REF!</definedName>
    <definedName name="Intt_Charge_eY" localSheetId="44">#REF!,#REF!</definedName>
    <definedName name="Intt_Charge_eY" localSheetId="21">#REF!,#REF!</definedName>
    <definedName name="Intt_Charge_eY" localSheetId="22">#REF!,#REF!</definedName>
    <definedName name="Intt_Charge_eY" localSheetId="20">#REF!,#REF!</definedName>
    <definedName name="Intt_Charge_eY" localSheetId="23">#REF!,#REF!</definedName>
    <definedName name="Intt_Charge_eY" localSheetId="25">#REF!,#REF!</definedName>
    <definedName name="Intt_Charge_eY" localSheetId="27">#REF!,#REF!</definedName>
    <definedName name="Intt_Charge_eY">#REF!,#REF!</definedName>
    <definedName name="Intt_Charge_ey_1" localSheetId="15">#REF!,#REF!</definedName>
    <definedName name="Intt_Charge_ey_1" localSheetId="35">#REF!,#REF!</definedName>
    <definedName name="Intt_Charge_ey_1" localSheetId="21">#REF!,#REF!</definedName>
    <definedName name="Intt_Charge_ey_1" localSheetId="22">#REF!,#REF!</definedName>
    <definedName name="Intt_Charge_ey_1" localSheetId="20">#REF!,#REF!</definedName>
    <definedName name="Intt_Charge_ey_1" localSheetId="23">#REF!,#REF!</definedName>
    <definedName name="Intt_Charge_ey_1" localSheetId="25">#REF!,#REF!</definedName>
    <definedName name="Intt_Charge_ey_1" localSheetId="27">#REF!,#REF!</definedName>
    <definedName name="Intt_Charge_ey_1" localSheetId="56">#REF!,#REF!</definedName>
    <definedName name="Intt_Charge_ey_1" localSheetId="57">#REF!,#REF!</definedName>
    <definedName name="Intt_Charge_ey_1">#REF!,#REF!</definedName>
    <definedName name="Intt_Charge_PY" localSheetId="29">#REF!,#REF!</definedName>
    <definedName name="Intt_Charge_PY" localSheetId="35">#REF!,#REF!</definedName>
    <definedName name="Intt_Charge_PY" localSheetId="38">#REF!,#REF!</definedName>
    <definedName name="Intt_Charge_PY" localSheetId="43">#REF!,#REF!</definedName>
    <definedName name="Intt_Charge_PY" localSheetId="44">#REF!,#REF!</definedName>
    <definedName name="Intt_Charge_PY" localSheetId="21">#REF!,#REF!</definedName>
    <definedName name="Intt_Charge_PY" localSheetId="22">#REF!,#REF!</definedName>
    <definedName name="Intt_Charge_PY" localSheetId="20">#REF!,#REF!</definedName>
    <definedName name="Intt_Charge_PY" localSheetId="23">#REF!,#REF!</definedName>
    <definedName name="Intt_Charge_PY" localSheetId="25">#REF!,#REF!</definedName>
    <definedName name="Intt_Charge_PY" localSheetId="27">#REF!,#REF!</definedName>
    <definedName name="Intt_Charge_PY">#REF!,#REF!</definedName>
    <definedName name="Intt_Charge_py_1" localSheetId="15">#REF!,#REF!</definedName>
    <definedName name="Intt_Charge_py_1" localSheetId="35">#REF!,#REF!</definedName>
    <definedName name="Intt_Charge_py_1" localSheetId="21">#REF!,#REF!</definedName>
    <definedName name="Intt_Charge_py_1" localSheetId="22">#REF!,#REF!</definedName>
    <definedName name="Intt_Charge_py_1" localSheetId="20">#REF!,#REF!</definedName>
    <definedName name="Intt_Charge_py_1" localSheetId="23">#REF!,#REF!</definedName>
    <definedName name="Intt_Charge_py_1" localSheetId="25">#REF!,#REF!</definedName>
    <definedName name="Intt_Charge_py_1" localSheetId="27">#REF!,#REF!</definedName>
    <definedName name="Intt_Charge_py_1" localSheetId="56">#REF!,#REF!</definedName>
    <definedName name="Intt_Charge_py_1" localSheetId="57">#REF!,#REF!</definedName>
    <definedName name="Intt_Charge_py_1">#REF!,#REF!</definedName>
    <definedName name="Investment_Plan" localSheetId="25">#REF!,#REF!</definedName>
    <definedName name="Investment_Plan" localSheetId="27">#REF!,#REF!</definedName>
    <definedName name="Investment_Plan">#REF!,#REF!</definedName>
    <definedName name="ISTSEscalation">#REF!</definedName>
    <definedName name="ISTSLoss">#REF!</definedName>
    <definedName name="J" localSheetId="25">#REF!</definedName>
    <definedName name="J">#REF!</definedName>
    <definedName name="jai"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ai"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ai"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jkkkkk" localSheetId="25">#REF!</definedName>
    <definedName name="jjkkkkk" localSheetId="27">#REF!</definedName>
    <definedName name="jjkkkkk">#REF!</definedName>
    <definedName name="june" localSheetId="25" hidden="1">#REF!</definedName>
    <definedName name="june" localSheetId="27" hidden="1">#REF!</definedName>
    <definedName name="june" hidden="1">#REF!</definedName>
    <definedName name="JV10Group_944" localSheetId="25">#REF!</definedName>
    <definedName name="JV10Group_944" localSheetId="27">#REF!</definedName>
    <definedName name="JV10Group_944">#REF!</definedName>
    <definedName name="JV14Group_944" localSheetId="27">#REF!</definedName>
    <definedName name="JV14Group_944">#REF!</definedName>
    <definedName name="K">#REF!</definedName>
    <definedName name="K2000_">#N/A</definedName>
    <definedName name="KEII" localSheetId="25">#REF!</definedName>
    <definedName name="KEII" localSheetId="27">#REF!</definedName>
    <definedName name="KEII">#REF!</definedName>
    <definedName name="KEIIU" localSheetId="25">#REF!</definedName>
    <definedName name="KEIIU" localSheetId="27">#REF!</definedName>
    <definedName name="KEIIU">#REF!</definedName>
    <definedName name="KIKIKI" localSheetId="25">#REF!</definedName>
    <definedName name="KIKIKI">#REF!</definedName>
    <definedName name="kil" localSheetId="27">#REF!</definedName>
    <definedName name="kil">#REF!</definedName>
    <definedName name="kj"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j"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j"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kfkfkfk" localSheetId="25">#REF!</definedName>
    <definedName name="kkfkfkfk" localSheetId="27">#REF!</definedName>
    <definedName name="kkfkfkfk">#REF!</definedName>
    <definedName name="kkk" localSheetId="25">#REF!</definedName>
    <definedName name="kkk" localSheetId="27">#REF!</definedName>
    <definedName name="kkk">#REF!</definedName>
    <definedName name="kkkk" localSheetId="25">#REF!</definedName>
    <definedName name="kkkk" localSheetId="27">#REF!</definedName>
    <definedName name="kkkk">#REF!</definedName>
    <definedName name="kkkkkkk" localSheetId="27">#REF!</definedName>
    <definedName name="kkkkkkk">#REF!</definedName>
    <definedName name="kskk" localSheetId="25" hidden="1">{#N/A,#N/A,FALSE,"COVER.XLS";#N/A,#N/A,FALSE,"RACT1.XLS";#N/A,#N/A,FALSE,"RACT2.XLS";#N/A,#N/A,FALSE,"ECCMP";#N/A,#N/A,FALSE,"WELDER.XLS"}</definedName>
    <definedName name="kskk" localSheetId="1" hidden="1">{#N/A,#N/A,FALSE,"COVER.XLS";#N/A,#N/A,FALSE,"RACT1.XLS";#N/A,#N/A,FALSE,"RACT2.XLS";#N/A,#N/A,FALSE,"ECCMP";#N/A,#N/A,FALSE,"WELDER.XLS"}</definedName>
    <definedName name="kskk" hidden="1">{#N/A,#N/A,FALSE,"COVER.XLS";#N/A,#N/A,FALSE,"RACT1.XLS";#N/A,#N/A,FALSE,"RACT2.XLS";#N/A,#N/A,FALSE,"ECCMP";#N/A,#N/A,FALSE,"WELDER.XLS"}</definedName>
    <definedName name="kvs" localSheetId="25" hidden="1">{#N/A,#N/A,FALSE,"COVER1.XLS ";#N/A,#N/A,FALSE,"RACT1.XLS";#N/A,#N/A,FALSE,"RACT2.XLS";#N/A,#N/A,FALSE,"ECCMP";#N/A,#N/A,FALSE,"WELDER.XLS"}</definedName>
    <definedName name="kvs" localSheetId="1" hidden="1">{#N/A,#N/A,FALSE,"COVER1.XLS ";#N/A,#N/A,FALSE,"RACT1.XLS";#N/A,#N/A,FALSE,"RACT2.XLS";#N/A,#N/A,FALSE,"ECCMP";#N/A,#N/A,FALSE,"WELDER.XLS"}</definedName>
    <definedName name="kvs" hidden="1">{#N/A,#N/A,FALSE,"COVER1.XLS ";#N/A,#N/A,FALSE,"RACT1.XLS";#N/A,#N/A,FALSE,"RACT2.XLS";#N/A,#N/A,FALSE,"ECCMP";#N/A,#N/A,FALSE,"WELDER.XLS"}</definedName>
    <definedName name="kW" localSheetId="15">#REF!</definedName>
    <definedName name="kW" localSheetId="29">#REF!</definedName>
    <definedName name="kW" localSheetId="35">#REF!</definedName>
    <definedName name="kW" localSheetId="23">#REF!</definedName>
    <definedName name="kW" localSheetId="25">#REF!</definedName>
    <definedName name="kW" localSheetId="27">#REF!</definedName>
    <definedName name="kW" localSheetId="56">#REF!</definedName>
    <definedName name="kW">#REF!</definedName>
    <definedName name="l" localSheetId="25">#REF!</definedName>
    <definedName name="l" localSheetId="27">#REF!</definedName>
    <definedName name="l">#REF!</definedName>
    <definedName name="Last_Row">#N/A</definedName>
    <definedName name="LEVEL" localSheetId="25">#REF!</definedName>
    <definedName name="LEVEL" localSheetId="27">#REF!</definedName>
    <definedName name="LEVEL">#REF!</definedName>
    <definedName name="Li" localSheetId="25">#REF!</definedName>
    <definedName name="Li">#REF!</definedName>
    <definedName name="List1" localSheetId="25">#REF!</definedName>
    <definedName name="List1">#REF!</definedName>
    <definedName name="ListOfSuperCriticalEquipment">#REF!</definedName>
    <definedName name="Live_Integrity" localSheetId="27">#REF!</definedName>
    <definedName name="Live_Integrity">#REF!</definedName>
    <definedName name="lk"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k"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k"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ll" localSheetId="25"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l" localSheetId="25">#REF!</definedName>
    <definedName name="llll" localSheetId="27">#REF!</definedName>
    <definedName name="llll">#REF!</definedName>
    <definedName name="Load_Col_Ind" localSheetId="25">#REF!</definedName>
    <definedName name="Load_Col_Ind" localSheetId="27">#REF!</definedName>
    <definedName name="Load_Col_Ind">#REF!</definedName>
    <definedName name="Loan_Amount" localSheetId="25">#REF!</definedName>
    <definedName name="Loan_Amount">#REF!</definedName>
    <definedName name="Loan_Start" localSheetId="25">#REF!</definedName>
    <definedName name="Loan_Start">#REF!</definedName>
    <definedName name="Loan_Years" localSheetId="25">#REF!</definedName>
    <definedName name="Loan_Years">#REF!</definedName>
    <definedName name="LOANS__A" localSheetId="15">#REF!</definedName>
    <definedName name="LOANS__A" localSheetId="29">#REF!</definedName>
    <definedName name="LOANS__A" localSheetId="35">#REF!</definedName>
    <definedName name="LOANS__A" localSheetId="23">#REF!</definedName>
    <definedName name="LOANS__A" localSheetId="25">#REF!</definedName>
    <definedName name="LOANS__A" localSheetId="27">#REF!</definedName>
    <definedName name="LOANS__A" localSheetId="56">#REF!</definedName>
    <definedName name="LOANS__A">#REF!</definedName>
    <definedName name="LOCAL_MYSQL_DATE_FORMAT" localSheetId="2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tions" localSheetId="25">#REF!</definedName>
    <definedName name="Locations">#REF!</definedName>
    <definedName name="Loss" localSheetId="25">#REF!</definedName>
    <definedName name="Loss">#REF!</definedName>
    <definedName name="ltind" localSheetId="29">#REF!</definedName>
    <definedName name="ltind" localSheetId="23">#REF!</definedName>
    <definedName name="ltind" localSheetId="25">#REF!</definedName>
    <definedName name="ltind" localSheetId="27">#REF!</definedName>
    <definedName name="ltind">#REF!</definedName>
    <definedName name="m105.">#REF!</definedName>
    <definedName name="Mar">#REF!</definedName>
    <definedName name="Master_Integrity" localSheetId="27">#REF!</definedName>
    <definedName name="Master_Integrity">#REF!</definedName>
    <definedName name="Master_Signals" localSheetId="27">#REF!</definedName>
    <definedName name="Master_Signals">#REF!</definedName>
    <definedName name="may" localSheetId="25" hidden="1">#REF!</definedName>
    <definedName name="may" localSheetId="27" hidden="1">#REF!</definedName>
    <definedName name="may" hidden="1">#REF!</definedName>
    <definedName name="MEMORNDM" localSheetId="15">#REF!</definedName>
    <definedName name="MEMORNDM" localSheetId="29">#REF!</definedName>
    <definedName name="MEMORNDM" localSheetId="23">#REF!</definedName>
    <definedName name="MEMORNDM" localSheetId="25">#REF!</definedName>
    <definedName name="MEMORNDM" localSheetId="27">#REF!</definedName>
    <definedName name="MEMORNDM" localSheetId="56">#REF!</definedName>
    <definedName name="MEMORNDM">#REF!</definedName>
    <definedName name="MEPE" localSheetId="27">#REF!</definedName>
    <definedName name="MEPE">#REF!</definedName>
    <definedName name="mile">#REF!</definedName>
    <definedName name="mill" localSheetId="27">#REF!</definedName>
    <definedName name="mill">#REF!</definedName>
    <definedName name="million" localSheetId="25">#REF!</definedName>
    <definedName name="million" localSheetId="27">#REF!</definedName>
    <definedName name="million">#REF!</definedName>
    <definedName name="mmmm" localSheetId="25">#REF!</definedName>
    <definedName name="mmmm" localSheetId="27">#REF!</definedName>
    <definedName name="mmmm">#REF!</definedName>
    <definedName name="mmmmmmmmmmmm" localSheetId="25">#REF!</definedName>
    <definedName name="mmmmmmmmmmmm" localSheetId="27">#REF!</definedName>
    <definedName name="mmmmmmmmmmmm">#REF!</definedName>
    <definedName name="MOD" localSheetId="25">#REF!</definedName>
    <definedName name="MOD" localSheetId="27">#REF!</definedName>
    <definedName name="MOD">#REF!</definedName>
    <definedName name="month" localSheetId="25">#REF!</definedName>
    <definedName name="month" localSheetId="27">#REF!</definedName>
    <definedName name="month">#REF!</definedName>
    <definedName name="month_no" localSheetId="25">#REF!</definedName>
    <definedName name="month_no" localSheetId="27">#REF!</definedName>
    <definedName name="month_no">#REF!</definedName>
    <definedName name="month_todo" localSheetId="25">#REF!</definedName>
    <definedName name="month_todo" localSheetId="27">#REF!</definedName>
    <definedName name="month_todo">#REF!</definedName>
    <definedName name="mpwr" localSheetId="25">#REF!</definedName>
    <definedName name="mpwr">#REF!</definedName>
    <definedName name="mRrjkpay_ikoj_dkjiksjs_ku_fy0" localSheetId="29">#REF!</definedName>
    <definedName name="mRrjkpay_ikoj_dkjiksjs_ku_fy0" localSheetId="35">#REF!</definedName>
    <definedName name="mRrjkpay_ikoj_dkjiksjs_ku_fy0" localSheetId="23">#REF!</definedName>
    <definedName name="mRrjkpay_ikoj_dkjiksjs_ku_fy0" localSheetId="25">#REF!</definedName>
    <definedName name="mRrjkpay_ikoj_dkjiksjs_ku_fy0" localSheetId="27">#REF!</definedName>
    <definedName name="mRrjkpay_ikoj_dkjiksjs_ku_fy0" localSheetId="57">#REF!</definedName>
    <definedName name="mRrjkpay_ikoj_dkjiksjs_ku_fy0">#REF!</definedName>
    <definedName name="MTPI" localSheetId="27">#REF!</definedName>
    <definedName name="MTPI">#REF!</definedName>
    <definedName name="N">#REF!</definedName>
    <definedName name="Name_Company" localSheetId="27">#REF!</definedName>
    <definedName name="Name_Company">#REF!</definedName>
    <definedName name="Name_Model" localSheetId="27">#REF!</definedName>
    <definedName name="Name_Model">#REF!</definedName>
    <definedName name="Name_Project" localSheetId="27">#REF!</definedName>
    <definedName name="Name_Project">#REF!</definedName>
    <definedName name="NameBaseCase" localSheetId="27">#REF!</definedName>
    <definedName name="NameBaseCase">#REF!</definedName>
    <definedName name="new" localSheetId="16" hidden="1">#REF!</definedName>
    <definedName name="new" localSheetId="29" hidden="1">#REF!</definedName>
    <definedName name="new" localSheetId="35" hidden="1">#REF!</definedName>
    <definedName name="new" localSheetId="43" hidden="1">#REF!</definedName>
    <definedName name="new" localSheetId="44" hidden="1">#REF!</definedName>
    <definedName name="new" localSheetId="25" hidden="1">#REF!</definedName>
    <definedName name="new" localSheetId="27" hidden="1">#REF!</definedName>
    <definedName name="new" hidden="1">#REF!</definedName>
    <definedName name="NmDivs" localSheetId="29">#REF!</definedName>
    <definedName name="NmDivs" localSheetId="35">#REF!</definedName>
    <definedName name="NmDivs" localSheetId="23">#REF!</definedName>
    <definedName name="NmDivs" localSheetId="25">#REF!</definedName>
    <definedName name="NmDivs" localSheetId="27">#REF!</definedName>
    <definedName name="NmDivs" localSheetId="57">#REF!</definedName>
    <definedName name="NmDivs">#REF!</definedName>
    <definedName name="no"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nDom" localSheetId="29">#REF!</definedName>
    <definedName name="NonDom" localSheetId="23">#REF!</definedName>
    <definedName name="NonDom" localSheetId="25">#REF!</definedName>
    <definedName name="NonDom" localSheetId="27">#REF!</definedName>
    <definedName name="NonDom">#REF!</definedName>
    <definedName name="NorthAndSouth">#REF!,#REF!</definedName>
    <definedName name="Nos" localSheetId="25">#REF!</definedName>
    <definedName name="Nos">#REF!</definedName>
    <definedName name="Nov"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v"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v"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PV" localSheetId="25">#REF!</definedName>
    <definedName name="NPV">#REF!</definedName>
    <definedName name="NPV_Rate" localSheetId="25">#REF!</definedName>
    <definedName name="NPV_Rate">#REF!</definedName>
    <definedName name="nuclearPLF">#REF!</definedName>
    <definedName name="Num_Pmt_Per_Year" localSheetId="25">#REF!</definedName>
    <definedName name="Num_Pmt_Per_Year">#REF!</definedName>
    <definedName name="Number_of_Payments" localSheetId="25">MATCH(0.01,End_Bal,-1)+1</definedName>
    <definedName name="Number_of_Payments" localSheetId="1">MATCH(0.01,End_Bal,-1)+1</definedName>
    <definedName name="Number_of_Payments">MATCH(0.01,End_Bal,-1)+1</definedName>
    <definedName name="o" localSheetId="25">{#N/A,#N/A,FALSE,"Form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 localSheetId="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CT" localSheetId="25" hidden="1">#REF!</definedName>
    <definedName name="OCT" localSheetId="27" hidden="1">#REF!</definedName>
    <definedName name="OCT" hidden="1">#REF!</definedName>
    <definedName name="OH" localSheetId="25">#REF!</definedName>
    <definedName name="OH">#REF!</definedName>
    <definedName name="oi"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i"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i"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pg" localSheetId="25">#REF!</definedName>
    <definedName name="opg" localSheetId="27">#REF!</definedName>
    <definedName name="opg">#REF!</definedName>
    <definedName name="opi" localSheetId="25">#REF!</definedName>
    <definedName name="opi" localSheetId="27">#REF!</definedName>
    <definedName name="opi">#REF!</definedName>
    <definedName name="opz" localSheetId="25">#REF!</definedName>
    <definedName name="opz" localSheetId="27">#REF!</definedName>
    <definedName name="opz">#REF!</definedName>
    <definedName name="OSCH2">#REF!</definedName>
    <definedName name="OSCH3">#REF!</definedName>
    <definedName name="OSCH4">#REF!</definedName>
    <definedName name="OSCH5">#REF!</definedName>
    <definedName name="OSCH6">#REF!</definedName>
    <definedName name="OSCH7">#REF!</definedName>
    <definedName name="OSCH8">#REF!</definedName>
    <definedName name="p" localSheetId="27">#REF!</definedName>
    <definedName name="p">#REF!</definedName>
    <definedName name="pa"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y_Date" localSheetId="25">#REF!</definedName>
    <definedName name="Pay_Date">#REF!</definedName>
    <definedName name="Pay_Num" localSheetId="25">#REF!</definedName>
    <definedName name="Pay_Num">#REF!</definedName>
    <definedName name="Payment_Date" localSheetId="21">DATE(YEAR([0]!Loan_Start),MONTH([0]!Loan_Start)+Payment_Number,DAY([0]!Loan_Start))</definedName>
    <definedName name="Payment_Date" localSheetId="22">DATE(YEAR([0]!Loan_Start),MONTH([0]!Loan_Start)+Payment_Number,DAY([0]!Loan_Start))</definedName>
    <definedName name="Payment_Date" localSheetId="25">DATE(YEAR(F6_PP6_RPO!Loan_Start),MONTH(F6_PP6_RPO!Loan_Start)+Payment_Number,DAY(F6_PP6_RPO!Loan_Start))</definedName>
    <definedName name="Payment_Date" localSheetId="1">DATE(YEAR(Loan_Start),MONTH(Loan_Start)+Payment_Number,DAY(Loan_Start))</definedName>
    <definedName name="Payment_Date">DATE(YEAR(Loan_Start),MONTH(Loan_Start)+Payment_Number,DAY(Loan_Start))</definedName>
    <definedName name="pen"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en"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en"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eopleLists">#REF!,#REF!</definedName>
    <definedName name="PI" localSheetId="29">#REF!</definedName>
    <definedName name="PI" localSheetId="25">#REF!</definedName>
    <definedName name="PI" localSheetId="27">#REF!</definedName>
    <definedName name="PI">#REF!</definedName>
    <definedName name="Pop_Ratio" localSheetId="38">#REF!</definedName>
    <definedName name="Pop_Ratio" localSheetId="43">#REF!</definedName>
    <definedName name="Pop_Ratio" localSheetId="44">#REF!</definedName>
    <definedName name="Pop_Ratio" localSheetId="21">#REF!</definedName>
    <definedName name="Pop_Ratio" localSheetId="22">#REF!</definedName>
    <definedName name="Pop_Ratio" localSheetId="20">#REF!</definedName>
    <definedName name="Pop_Ratio" localSheetId="23">#REF!</definedName>
    <definedName name="Pop_Ratio" localSheetId="25">#REF!</definedName>
    <definedName name="Pop_Ratio" localSheetId="27">#REF!</definedName>
    <definedName name="Pop_Ratio">#REF!</definedName>
    <definedName name="PP" localSheetId="35">#REF!</definedName>
    <definedName name="PP" localSheetId="21">'F3.1_PP_Monthly 25-26'!$DK$28</definedName>
    <definedName name="PP" localSheetId="22">'F3.2_PP_Monthly 26-27'!$DK$28</definedName>
    <definedName name="PP" localSheetId="25">#REF!</definedName>
    <definedName name="PP" localSheetId="27">#REF!</definedName>
    <definedName name="PP">'F3_PP_Monthly 24-25'!$DK$28</definedName>
    <definedName name="Previous">#REF!</definedName>
    <definedName name="Princ">#REF!</definedName>
    <definedName name="_xlnm.Print_Area" localSheetId="7">'APR Snapshot'!$A$1:$J$96</definedName>
    <definedName name="_xlnm.Print_Area" localSheetId="8">ARR!$A$1:$I$54</definedName>
    <definedName name="_xlnm.Print_Area" localSheetId="9">'ARR snapshot'!$A$1:$M$87</definedName>
    <definedName name="_xlnm.Print_Area" localSheetId="2">'BS1'!$A$1:$D$53</definedName>
    <definedName name="_xlnm.Print_Area" localSheetId="3">'BS2'!$A$1:$D$66</definedName>
    <definedName name="_xlnm.Print_Area" localSheetId="4">'BS3'!$A$1:$E$63</definedName>
    <definedName name="_xlnm.Print_Area" localSheetId="6">'Energy Balance'!$A$1:$L$31</definedName>
    <definedName name="_xlnm.Print_Area" localSheetId="11">'ESR2_Sales Forecast'!$A$1:$AI$23</definedName>
    <definedName name="_xlnm.Print_Area" localSheetId="12">'ESR3_Curr Tariff'!$A$1:$AO$23</definedName>
    <definedName name="_xlnm.Print_Area" localSheetId="13">'ESR4_Prop Tariff'!$A$1:$O$22</definedName>
    <definedName name="_xlnm.Print_Area" localSheetId="14">'ESR4A_Prop Tariff Rate Sch.'!$A$1:$F$280</definedName>
    <definedName name="_xlnm.Print_Area" localSheetId="16">ESR6_Subsidy!$A$1:$D$177</definedName>
    <definedName name="_xlnm.Print_Area" localSheetId="18">F1_PP_Annual!$A$1:$P$706</definedName>
    <definedName name="_xlnm.Print_Area" localSheetId="29">F10_PP_BST!$A$1:$I$35</definedName>
    <definedName name="_xlnm.Print_Area" localSheetId="30">'F11_CAP_Asset not in use'!$A$1:$F$16</definedName>
    <definedName name="_xlnm.Print_Area" localSheetId="33">'F14_CAP_Cap Cost'!$A$1:$H$15</definedName>
    <definedName name="_xlnm.Print_Area" localSheetId="34">F15_CAP_CWIP!$A$1:$I$11</definedName>
    <definedName name="_xlnm.Print_Area" localSheetId="36">'F17_O&amp;M_CPI'!$A$1:$J$25</definedName>
    <definedName name="_xlnm.Print_Area" localSheetId="37">'F18_O&amp;M_WPI'!$A$1:$J$26</definedName>
    <definedName name="_xlnm.Print_Area" localSheetId="38">'F19_O&amp;M_EE n AG base'!$A$1:$K$11</definedName>
    <definedName name="_xlnm.Print_Area" localSheetId="19">F2_PP_Assump!$A$1:$C$40</definedName>
    <definedName name="_xlnm.Print_Area" localSheetId="39">'F20_O&amp;M_EE'!$A$1:$M$12</definedName>
    <definedName name="_xlnm.Print_Area" localSheetId="40">'F21_O&amp;M_EE (A)'!$A$1:$M$32</definedName>
    <definedName name="_xlnm.Print_Area" localSheetId="41">'F22_O&amp;M_R&amp;M'!$A$1:$G$18</definedName>
    <definedName name="_xlnm.Print_Area" localSheetId="42">'F23_O&amp;M_A&amp;G'!$A$1:$L$46</definedName>
    <definedName name="_xlnm.Print_Area" localSheetId="43">F24_Dep!$A$1:$J$97</definedName>
    <definedName name="_xlnm.Print_Area" localSheetId="44">F25_IOL!$A$1:$J$60</definedName>
    <definedName name="_xlnm.Print_Area" localSheetId="45">F26_ROE!$A$1:$L$14</definedName>
    <definedName name="_xlnm.Print_Area" localSheetId="46">'F27_Work Cap'!$A$1:$I$128</definedName>
    <definedName name="_xlnm.Print_Area" localSheetId="47">F28_NTI!$A$1:$H$25</definedName>
    <definedName name="_xlnm.Print_Area" localSheetId="21">'F3.1_PP_Monthly 25-26'!$A$1:$EP$137</definedName>
    <definedName name="_xlnm.Print_Area" localSheetId="22">'F3.2_PP_Monthly 26-27'!$A$1:$EP$137</definedName>
    <definedName name="_xlnm.Print_Area" localSheetId="20">'F3_PP_Monthly 24-25'!$A$1:$EP$138</definedName>
    <definedName name="_xlnm.Print_Area" localSheetId="49">'F30_CSD monthly'!$A$1:$O$24</definedName>
    <definedName name="_xlnm.Print_Area" localSheetId="50">F30A_CSD!$A$1:$I$18</definedName>
    <definedName name="_xlnm.Print_Area" localSheetId="53">F33_CSS!$A$1:$AG$103</definedName>
    <definedName name="_xlnm.Print_Area" localSheetId="23">F4_PP_MOD!$A$1:$U$23</definedName>
    <definedName name="_xlnm.Print_Area" localSheetId="24">F5_PP_Renew!$A$1:$J$21</definedName>
    <definedName name="_xlnm.Print_Area" localSheetId="25">F6_PP6_RPO!$A$4:$M$53</definedName>
    <definedName name="_xlnm.Print_Area" localSheetId="26">'F7_PP_Comp Bid'!$A$1:$E$44</definedName>
    <definedName name="_xlnm.Print_Area" localSheetId="27">'F8_PP_Short Term'!$A$1:$L$26</definedName>
    <definedName name="_xlnm.Print_Area" localSheetId="63">'F9_Peak Demand'!$A$1:$E$23</definedName>
    <definedName name="_xlnm.Print_Area" localSheetId="28">F9_PP_plan!$A$1:$AB$21</definedName>
    <definedName name="_xlnm.Print_Area" localSheetId="1">Index!$A$1:$C$64</definedName>
    <definedName name="_xlnm.Print_Area" localSheetId="64">'P10_Pending Cases'!$A$1:$H$7</definedName>
    <definedName name="_xlnm.Print_Area" localSheetId="55">'P1A_DL HT-LT'!$A$1:$H$34</definedName>
    <definedName name="_xlnm.Print_Area" localSheetId="57">'P3_Bad Debts'!$A$1:$F$15</definedName>
    <definedName name="_xlnm.Print_Area" localSheetId="60">'P6_Cons Complaints'!$A$1:$H$16</definedName>
    <definedName name="_xlnm.Print_Area" localSheetId="62">'P8_Elec Accidents'!$A$1:$F$20</definedName>
    <definedName name="_xlnm.Print_Area" localSheetId="5">'True up-snapshot'!$A$1:$N$96</definedName>
    <definedName name="_xlnm.Print_Area">#REF!</definedName>
    <definedName name="Print_Area_MI" localSheetId="27">#REF!</definedName>
    <definedName name="Print_Area_MI">#REF!</definedName>
    <definedName name="Print_Area_Reset" localSheetId="25">OFFSET(Full_Print,0,0,Last_Row)</definedName>
    <definedName name="Print_Area_Reset" localSheetId="1">OFFSET(Full_Print,0,0,Last_Row)</definedName>
    <definedName name="Print_Area_Reset">OFFSET(Full_Print,0,0,Last_Row)</definedName>
    <definedName name="_xlnm.Print_Titles" localSheetId="8">ARR!$1:$7</definedName>
    <definedName name="_xlnm.Print_Titles" localSheetId="2">'BS1'!$5:$6</definedName>
    <definedName name="_xlnm.Print_Titles" localSheetId="3">'BS2'!$1:$6</definedName>
    <definedName name="_xlnm.Print_Titles" localSheetId="4">'BS3'!$1:$6</definedName>
    <definedName name="_xlnm.Print_Titles" localSheetId="12">'ESR3_Curr Tariff'!$A:$B</definedName>
    <definedName name="_xlnm.Print_Titles" localSheetId="13">'ESR4_Prop Tariff'!$A:$B</definedName>
    <definedName name="_xlnm.Print_Titles" localSheetId="14">'ESR4A_Prop Tariff Rate Sch.'!$6:$6</definedName>
    <definedName name="_xlnm.Print_Titles" localSheetId="15">'ESR5_BD&amp;Rev'!$4:$7</definedName>
    <definedName name="_xlnm.Print_Titles" localSheetId="16">ESR6_Subsidy!$1:$5</definedName>
    <definedName name="_xlnm.Print_Titles" localSheetId="18">F1_PP_Annual!$5:$8</definedName>
    <definedName name="_xlnm.Print_Titles" localSheetId="21">'F3.1_PP_Monthly 25-26'!$1:$7</definedName>
    <definedName name="_xlnm.Print_Titles" localSheetId="22">'F3.2_PP_Monthly 26-27'!$1:$7</definedName>
    <definedName name="_xlnm.Print_Titles" localSheetId="20">'F3_PP_Monthly 24-25'!$1:$7</definedName>
    <definedName name="_xlnm.Print_Titles" localSheetId="23">F4_PP_MOD!$A:$C,F4_PP_MOD!$1:$4</definedName>
    <definedName name="_xlnm.Print_Titles" localSheetId="26">'F7_PP_Comp Bid'!$1:$5</definedName>
    <definedName name="_xlnm.Print_Titles" localSheetId="1">Index!$1:$2</definedName>
    <definedName name="_xlnm.Print_Titles" localSheetId="55">'P1A_DL HT-LT'!$1:$7</definedName>
    <definedName name="_xlnm.Print_Titles" localSheetId="56">'P2_AVG Supply HRS'!$5:$8</definedName>
    <definedName name="_xlnm.Print_Titles">#N/A</definedName>
    <definedName name="Print_Titles_MI" localSheetId="25">#REF!,#REF!</definedName>
    <definedName name="Print_Titles_MI" localSheetId="27">#REF!,#REF!</definedName>
    <definedName name="Print_Titles_MI">#REF!,#REF!</definedName>
    <definedName name="Print_Titles_MII" localSheetId="25">#REF!,#REF!</definedName>
    <definedName name="Print_Titles_MII" localSheetId="27">#REF!,#REF!</definedName>
    <definedName name="Print_Titles_MII">#REF!,#REF!</definedName>
    <definedName name="ProfileOfTaggedInstruments___ByConstrMgr_Complex_Category" localSheetId="25">#REF!</definedName>
    <definedName name="ProfileOfTaggedInstruments___ByConstrMgr_Complex_Category">#REF!</definedName>
    <definedName name="psj"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sj"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sj"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t"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A_Bulk" localSheetId="25">#REF!</definedName>
    <definedName name="PTA_Bulk">#REF!</definedName>
    <definedName name="PTA_ISBL" localSheetId="25">#REF!</definedName>
    <definedName name="PTA_ISBL">#REF!</definedName>
    <definedName name="PTPI" localSheetId="25">#REF!</definedName>
    <definedName name="PTPI" localSheetId="27">#REF!</definedName>
    <definedName name="PTPI">#REF!</definedName>
    <definedName name="Pumps_and_Meterisation" localSheetId="27">#REF!</definedName>
    <definedName name="Pumps_and_Meterisation">#REF!</definedName>
    <definedName name="q" localSheetId="21">#REF!,#REF!</definedName>
    <definedName name="q" localSheetId="22">#REF!,#REF!</definedName>
    <definedName name="q" localSheetId="20">#REF!,#REF!</definedName>
    <definedName name="q" localSheetId="23">#REF!,#REF!</definedName>
    <definedName name="q" localSheetId="25">#REF!,#REF!</definedName>
    <definedName name="q" localSheetId="27">#REF!,#REF!</definedName>
    <definedName name="q">#REF!,#REF!</definedName>
    <definedName name="qq" localSheetId="25" hidden="1">{#N/A,#N/A,FALSE,"COVER1.XLS ";#N/A,#N/A,FALSE,"RACT1.XLS";#N/A,#N/A,FALSE,"RACT2.XLS";#N/A,#N/A,FALSE,"ECCMP";#N/A,#N/A,FALSE,"WELDER.XLS"}</definedName>
    <definedName name="qq" localSheetId="1" hidden="1">{#N/A,#N/A,FALSE,"COVER1.XLS ";#N/A,#N/A,FALSE,"RACT1.XLS";#N/A,#N/A,FALSE,"RACT2.XLS";#N/A,#N/A,FALSE,"ECCMP";#N/A,#N/A,FALSE,"WELDER.XLS"}</definedName>
    <definedName name="qq" hidden="1">{#N/A,#N/A,FALSE,"COVER1.XLS ";#N/A,#N/A,FALSE,"RACT1.XLS";#N/A,#N/A,FALSE,"RACT2.XLS";#N/A,#N/A,FALSE,"ECCMP";#N/A,#N/A,FALSE,"WELDER.XLS"}</definedName>
    <definedName name="qryEqptOrdDelyETAProfile_byConstrMgr" localSheetId="25">#REF!</definedName>
    <definedName name="qryEqptOrdDelyETAProfile_byConstrMgr">#REF!</definedName>
    <definedName name="qryEqptOrdPODelProfile_ByConstrMgr" localSheetId="25">#REF!</definedName>
    <definedName name="qryEqptOrdPODelProfile_ByConstrMgr">#REF!</definedName>
    <definedName name="qryForEqptProfTotalDelvdFdnErnIndImp" localSheetId="25">#REF!</definedName>
    <definedName name="qryForEqptProfTotalDelvdFdnErnIndImp">#REF!</definedName>
    <definedName name="qrySummROSDatesFromQuery">#REF!</definedName>
    <definedName name="qryUnitForecastUtils">#REF!</definedName>
    <definedName name="Query1">#REF!</definedName>
    <definedName name="qw" localSheetId="25" hidden="1">{#N/A,#N/A,FALSE,"consu_cover";#N/A,#N/A,FALSE,"consu_strategy";#N/A,#N/A,FALSE,"consu_flow";#N/A,#N/A,FALSE,"Summary_reqmt";#N/A,#N/A,FALSE,"field_ppg";#N/A,#N/A,FALSE,"ppg_shop";#N/A,#N/A,FALSE,"strl";#N/A,#N/A,FALSE,"tankages";#N/A,#N/A,FALSE,"gases"}</definedName>
    <definedName name="qw" localSheetId="1" hidden="1">{#N/A,#N/A,FALSE,"consu_cover";#N/A,#N/A,FALSE,"consu_strategy";#N/A,#N/A,FALSE,"consu_flow";#N/A,#N/A,FALSE,"Summary_reqmt";#N/A,#N/A,FALSE,"field_ppg";#N/A,#N/A,FALSE,"ppg_shop";#N/A,#N/A,FALSE,"strl";#N/A,#N/A,FALSE,"tankages";#N/A,#N/A,FALSE,"gases"}</definedName>
    <definedName name="qw" hidden="1">{#N/A,#N/A,FALSE,"consu_cover";#N/A,#N/A,FALSE,"consu_strategy";#N/A,#N/A,FALSE,"consu_flow";#N/A,#N/A,FALSE,"Summary_reqmt";#N/A,#N/A,FALSE,"field_ppg";#N/A,#N/A,FALSE,"ppg_shop";#N/A,#N/A,FALSE,"strl";#N/A,#N/A,FALSE,"tankages";#N/A,#N/A,FALSE,"gases"}</definedName>
    <definedName name="R_">#N/A</definedName>
    <definedName name="R_15_00_01" localSheetId="25">#REF!</definedName>
    <definedName name="R_15_00_01" localSheetId="27">#REF!</definedName>
    <definedName name="R_15_00_01">#REF!</definedName>
    <definedName name="rad_dscnt" localSheetId="25">#REF!</definedName>
    <definedName name="rad_dscnt">#REF!</definedName>
    <definedName name="RB"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B"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B"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es_sum" localSheetId="25" hidden="1">{#N/A,#N/A,FALSE,"COVER1.XLS ";#N/A,#N/A,FALSE,"RACT1.XLS";#N/A,#N/A,FALSE,"RACT2.XLS";#N/A,#N/A,FALSE,"ECCMP";#N/A,#N/A,FALSE,"WELDER.XLS"}</definedName>
    <definedName name="res_sum" localSheetId="1" hidden="1">{#N/A,#N/A,FALSE,"COVER1.XLS ";#N/A,#N/A,FALSE,"RACT1.XLS";#N/A,#N/A,FALSE,"RACT2.XLS";#N/A,#N/A,FALSE,"ECCMP";#N/A,#N/A,FALSE,"WELDER.XLS"}</definedName>
    <definedName name="res_sum" hidden="1">{#N/A,#N/A,FALSE,"COVER1.XLS ";#N/A,#N/A,FALSE,"RACT1.XLS";#N/A,#N/A,FALSE,"RACT2.XLS";#N/A,#N/A,FALSE,"ECCMP";#N/A,#N/A,FALSE,"WELDER.XLS"}</definedName>
    <definedName name="RH" localSheetId="25">#REF!</definedName>
    <definedName name="RH" localSheetId="27">#REF!</definedName>
    <definedName name="RH">#REF!</definedName>
    <definedName name="RLDCEscalation">#REF!</definedName>
    <definedName name="RP_2" localSheetId="25"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P_2" localSheetId="27"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P_2" localSheetId="1"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P_2"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r" localSheetId="25" hidden="1">{#N/A,#N/A,FALSE,"consu_cover";#N/A,#N/A,FALSE,"consu_strategy";#N/A,#N/A,FALSE,"consu_flow";#N/A,#N/A,FALSE,"Summary_reqmt";#N/A,#N/A,FALSE,"field_ppg";#N/A,#N/A,FALSE,"ppg_shop";#N/A,#N/A,FALSE,"strl";#N/A,#N/A,FALSE,"tankages";#N/A,#N/A,FALSE,"gases"}</definedName>
    <definedName name="rr" localSheetId="1" hidden="1">{#N/A,#N/A,FALSE,"consu_cover";#N/A,#N/A,FALSE,"consu_strategy";#N/A,#N/A,FALSE,"consu_flow";#N/A,#N/A,FALSE,"Summary_reqmt";#N/A,#N/A,FALSE,"field_ppg";#N/A,#N/A,FALSE,"ppg_shop";#N/A,#N/A,FALSE,"strl";#N/A,#N/A,FALSE,"tankages";#N/A,#N/A,FALSE,"gases"}</definedName>
    <definedName name="rr" hidden="1">{#N/A,#N/A,FALSE,"consu_cover";#N/A,#N/A,FALSE,"consu_strategy";#N/A,#N/A,FALSE,"consu_flow";#N/A,#N/A,FALSE,"Summary_reqmt";#N/A,#N/A,FALSE,"field_ppg";#N/A,#N/A,FALSE,"ppg_shop";#N/A,#N/A,FALSE,"strl";#N/A,#N/A,FALSE,"tankages";#N/A,#N/A,FALSE,"gases"}</definedName>
    <definedName name="RTTRTRTR"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TTRTRTR"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TTRTRTR"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were" localSheetId="25" hidden="1">{#N/A,#N/A,FALSE,"COVER1.XLS ";#N/A,#N/A,FALSE,"RACT1.XLS";#N/A,#N/A,FALSE,"RACT2.XLS";#N/A,#N/A,FALSE,"ECCMP";#N/A,#N/A,FALSE,"WELDER.XLS"}</definedName>
    <definedName name="rwere" localSheetId="1" hidden="1">{#N/A,#N/A,FALSE,"COVER1.XLS ";#N/A,#N/A,FALSE,"RACT1.XLS";#N/A,#N/A,FALSE,"RACT2.XLS";#N/A,#N/A,FALSE,"ECCMP";#N/A,#N/A,FALSE,"WELDER.XLS"}</definedName>
    <definedName name="rwere" hidden="1">{#N/A,#N/A,FALSE,"COVER1.XLS ";#N/A,#N/A,FALSE,"RACT1.XLS";#N/A,#N/A,FALSE,"RACT2.XLS";#N/A,#N/A,FALSE,"ECCMP";#N/A,#N/A,FALSE,"WELDER.XLS"}</definedName>
    <definedName name="s" localSheetId="35" hidden="1">#REF!</definedName>
    <definedName name="s" localSheetId="25" hidden="1">#REF!</definedName>
    <definedName name="s" localSheetId="27" hidden="1">#REF!</definedName>
    <definedName name="s" hidden="1">#REF!</definedName>
    <definedName name="S_CRS" localSheetId="15">#REF!</definedName>
    <definedName name="S_CRS" localSheetId="29">#REF!</definedName>
    <definedName name="S_CRS" localSheetId="35">#REF!</definedName>
    <definedName name="S_CRS" localSheetId="23">#REF!</definedName>
    <definedName name="S_CRS" localSheetId="25">#REF!</definedName>
    <definedName name="S_CRS" localSheetId="27">#REF!</definedName>
    <definedName name="S_CRS" localSheetId="56">#REF!</definedName>
    <definedName name="S_CRS">#REF!</definedName>
    <definedName name="Sales_Col_Ind" localSheetId="25">#REF!</definedName>
    <definedName name="Sales_Col_Ind" localSheetId="27">#REF!</definedName>
    <definedName name="Sales_Col_Ind">#REF!</definedName>
    <definedName name="SAPBEXdnldView" hidden="1">"3SB8LZCV0XHZU35V9QQ6GS6J7"</definedName>
    <definedName name="SAPBEXsysID" hidden="1">"BP1"</definedName>
    <definedName name="SAPBEXwbID" hidden="1">"4OBP177R9VNERV50P8R7WXMPG"</definedName>
    <definedName name="Scenario" localSheetId="25">#REF!</definedName>
    <definedName name="Scenario" localSheetId="27">#REF!</definedName>
    <definedName name="Scenario">#REF!</definedName>
    <definedName name="Scenario_Name" localSheetId="25">#REF!</definedName>
    <definedName name="Scenario_Name" localSheetId="27">#REF!</definedName>
    <definedName name="Scenario_Name">#REF!</definedName>
    <definedName name="SCH" localSheetId="25">#REF!</definedName>
    <definedName name="SCH">#REF!</definedName>
    <definedName name="SCHe6">#REF!</definedName>
    <definedName name="Sched_Pay">#REF!</definedName>
    <definedName name="Scheduled_Extra_Payments">#REF!</definedName>
    <definedName name="Scheduled_Interest_Rate">#REF!</definedName>
    <definedName name="Scheduled_Monthly_Payment">#REF!</definedName>
    <definedName name="Scheme" localSheetId="25">#REF!,#REF!</definedName>
    <definedName name="Scheme" localSheetId="27">#REF!,#REF!</definedName>
    <definedName name="Scheme">#REF!,#REF!</definedName>
    <definedName name="SCHVI_IV" localSheetId="15">#REF!</definedName>
    <definedName name="SCHVI_IV" localSheetId="29">#REF!</definedName>
    <definedName name="SCHVI_IV" localSheetId="35">#REF!</definedName>
    <definedName name="SCHVI_IV" localSheetId="23">#REF!</definedName>
    <definedName name="SCHVI_IV" localSheetId="25">#REF!</definedName>
    <definedName name="SCHVI_IV" localSheetId="27">#REF!</definedName>
    <definedName name="SCHVI_IV" localSheetId="56">#REF!</definedName>
    <definedName name="SCHVI_IV">#REF!</definedName>
    <definedName name="sd" localSheetId="25">#REF!</definedName>
    <definedName name="sd">#REF!</definedName>
    <definedName name="sddfdf" localSheetId="27">#REF!</definedName>
    <definedName name="sddfdf">#REF!</definedName>
    <definedName name="se" localSheetId="25" hidden="1">{#N/A,#N/A,FALSE,"COVER1.XLS ";#N/A,#N/A,FALSE,"RACT1.XLS";#N/A,#N/A,FALSE,"RACT2.XLS";#N/A,#N/A,FALSE,"ECCMP";#N/A,#N/A,FALSE,"WELDER.XLS"}</definedName>
    <definedName name="se" localSheetId="1" hidden="1">{#N/A,#N/A,FALSE,"COVER1.XLS ";#N/A,#N/A,FALSE,"RACT1.XLS";#N/A,#N/A,FALSE,"RACT2.XLS";#N/A,#N/A,FALSE,"ECCMP";#N/A,#N/A,FALSE,"WELDER.XLS"}</definedName>
    <definedName name="se" hidden="1">{#N/A,#N/A,FALSE,"COVER1.XLS ";#N/A,#N/A,FALSE,"RACT1.XLS";#N/A,#N/A,FALSE,"RACT2.XLS";#N/A,#N/A,FALSE,"ECCMP";#N/A,#N/A,FALSE,"WELDER.XLS"}</definedName>
    <definedName name="Select_Horizontal" localSheetId="25">#REF!</definedName>
    <definedName name="Select_Horizontal" localSheetId="27">#REF!</definedName>
    <definedName name="Select_Horizontal">#REF!</definedName>
    <definedName name="Select_Vertical" localSheetId="25">#REF!</definedName>
    <definedName name="Select_Vertical" localSheetId="27">#REF!</definedName>
    <definedName name="Select_Vertical">#REF!</definedName>
    <definedName name="SEP" localSheetId="25" hidden="1">#REF!</definedName>
    <definedName name="SEP" localSheetId="27" hidden="1">#REF!</definedName>
    <definedName name="SEP" hidden="1">#REF!</definedName>
    <definedName name="Sheet"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eet"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ee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ft1" localSheetId="25">#REF!</definedName>
    <definedName name="shft1" localSheetId="27">#REF!</definedName>
    <definedName name="shft1">#REF!</definedName>
    <definedName name="shftI" localSheetId="15">#REF!</definedName>
    <definedName name="shftI" localSheetId="35">#REF!</definedName>
    <definedName name="shftI" localSheetId="21">#REF!</definedName>
    <definedName name="shftI" localSheetId="22">#REF!</definedName>
    <definedName name="shftI" localSheetId="20">#REF!</definedName>
    <definedName name="shftI" localSheetId="23">#REF!</definedName>
    <definedName name="shftI" localSheetId="25">#REF!</definedName>
    <definedName name="shftI" localSheetId="27">#REF!</definedName>
    <definedName name="shftI" localSheetId="56">#REF!</definedName>
    <definedName name="shftI" localSheetId="57">#REF!</definedName>
    <definedName name="shftI">#REF!</definedName>
    <definedName name="short" localSheetId="25" hidden="1">{#N/A,#N/A,FALSE,"COVER1.XLS ";#N/A,#N/A,FALSE,"RACT1.XLS";#N/A,#N/A,FALSE,"RACT2.XLS";#N/A,#N/A,FALSE,"ECCMP";#N/A,#N/A,FALSE,"WELDER.XLS"}</definedName>
    <definedName name="short" localSheetId="1" hidden="1">{#N/A,#N/A,FALSE,"COVER1.XLS ";#N/A,#N/A,FALSE,"RACT1.XLS";#N/A,#N/A,FALSE,"RACT2.XLS";#N/A,#N/A,FALSE,"ECCMP";#N/A,#N/A,FALSE,"WELDER.XLS"}</definedName>
    <definedName name="short" hidden="1">{#N/A,#N/A,FALSE,"COVER1.XLS ";#N/A,#N/A,FALSE,"RACT1.XLS";#N/A,#N/A,FALSE,"RACT2.XLS";#N/A,#N/A,FALSE,"ECCMP";#N/A,#N/A,FALSE,"WELDER.XLS"}</definedName>
    <definedName name="shortTermFY24">#REF!</definedName>
    <definedName name="shortTermFY25">#REF!</definedName>
    <definedName name="SHRTFALL" localSheetId="25" hidden="1">{#N/A,#N/A,FALSE,"COVER1.XLS ";#N/A,#N/A,FALSE,"RACT1.XLS";#N/A,#N/A,FALSE,"RACT2.XLS";#N/A,#N/A,FALSE,"ECCMP";#N/A,#N/A,FALSE,"WELDER.XLS"}</definedName>
    <definedName name="SHRTFALL" localSheetId="1" hidden="1">{#N/A,#N/A,FALSE,"COVER1.XLS ";#N/A,#N/A,FALSE,"RACT1.XLS";#N/A,#N/A,FALSE,"RACT2.XLS";#N/A,#N/A,FALSE,"ECCMP";#N/A,#N/A,FALSE,"WELDER.XLS"}</definedName>
    <definedName name="SHRTFALL" hidden="1">{#N/A,#N/A,FALSE,"COVER1.XLS ";#N/A,#N/A,FALSE,"RACT1.XLS";#N/A,#N/A,FALSE,"RACT2.XLS";#N/A,#N/A,FALSE,"ECCMP";#N/A,#N/A,FALSE,"WELDER.XLS"}</definedName>
    <definedName name="Sht_EDiv" localSheetId="29">#REF!</definedName>
    <definedName name="Sht_EDiv" localSheetId="35">#REF!</definedName>
    <definedName name="Sht_EDiv" localSheetId="23">#REF!</definedName>
    <definedName name="Sht_EDiv" localSheetId="25">#REF!</definedName>
    <definedName name="Sht_EDiv" localSheetId="27">#REF!</definedName>
    <definedName name="Sht_EDiv" localSheetId="57">#REF!</definedName>
    <definedName name="Sht_EDiv">#REF!</definedName>
    <definedName name="skjdk"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kjdk"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kjdk"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och" localSheetId="25">#REF!</definedName>
    <definedName name="soch" localSheetId="27">#REF!</definedName>
    <definedName name="soch">#REF!</definedName>
    <definedName name="solarPLF">#REF!</definedName>
    <definedName name="Specific_Consumption" localSheetId="25">#REF!</definedName>
    <definedName name="Specific_Consumption" localSheetId="27">#REF!</definedName>
    <definedName name="Specific_Consumption">#REF!</definedName>
    <definedName name="ss" localSheetId="25" hidden="1">#REF!</definedName>
    <definedName name="ss" hidden="1">#REF!</definedName>
    <definedName name="SSS"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SS"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SS"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_SP" localSheetId="15">#REF!</definedName>
    <definedName name="ST_SP" localSheetId="29">#REF!</definedName>
    <definedName name="ST_SP" localSheetId="23">#REF!</definedName>
    <definedName name="ST_SP" localSheetId="25">#REF!</definedName>
    <definedName name="ST_SP" localSheetId="27">#REF!</definedName>
    <definedName name="ST_SP" localSheetId="56">#REF!</definedName>
    <definedName name="ST_SP">#REF!</definedName>
    <definedName name="ST6A" localSheetId="25">#REF!</definedName>
    <definedName name="ST6A" localSheetId="27">#REF!</definedName>
    <definedName name="ST6A">#REF!</definedName>
    <definedName name="Start3" localSheetId="27">#REF!</definedName>
    <definedName name="Start3">#REF!</definedName>
    <definedName name="STPI" localSheetId="27">#REF!</definedName>
    <definedName name="STPI">#REF!</definedName>
    <definedName name="Styles" localSheetId="27">#REF!</definedName>
    <definedName name="Styles">#REF!</definedName>
    <definedName name="sub"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b"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b"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garPLF">#REF!</definedName>
    <definedName name="Sup" localSheetId="25">#REF!</definedName>
    <definedName name="Sup" localSheetId="27">#REF!</definedName>
    <definedName name="Sup">#REF!</definedName>
    <definedName name="Supp" localSheetId="25">#REF!</definedName>
    <definedName name="Supp" localSheetId="27">#REF!</definedName>
    <definedName name="Supp">#REF!</definedName>
    <definedName name="T_T" localSheetId="25">#REF!</definedName>
    <definedName name="T_T" localSheetId="27">#REF!</definedName>
    <definedName name="T_T">#REF!</definedName>
    <definedName name="TabA_Conn" localSheetId="29">#REF!</definedName>
    <definedName name="TabA_Conn" localSheetId="23">#REF!</definedName>
    <definedName name="TabA_Conn" localSheetId="25">#REF!</definedName>
    <definedName name="TabA_Conn" localSheetId="27">#REF!</definedName>
    <definedName name="TabA_Conn">#REF!</definedName>
    <definedName name="TabA_Cust" localSheetId="25">#REF!</definedName>
    <definedName name="TabA_Cust" localSheetId="27">#REF!</definedName>
    <definedName name="TabA_Cust">#REF!</definedName>
    <definedName name="TabA_Left" localSheetId="25">#REF!</definedName>
    <definedName name="TabA_Left" localSheetId="27">#REF!</definedName>
    <definedName name="TabA_Left">#REF!</definedName>
    <definedName name="TabA_Sales" localSheetId="27">#REF!</definedName>
    <definedName name="TabA_Sales">#REF!</definedName>
    <definedName name="TabA_Top" localSheetId="27">#REF!</definedName>
    <definedName name="TabA_Top">#REF!</definedName>
    <definedName name="table">#REF!</definedName>
    <definedName name="TABLE1">#REF!</definedName>
    <definedName name="Target">#REF!</definedName>
    <definedName name="Target1">#REF!</definedName>
    <definedName name="Tariff">#REF!</definedName>
    <definedName name="TarrGrowth">#REF!</definedName>
    <definedName name="TaxTV">10%</definedName>
    <definedName name="TaxXL">5%</definedName>
    <definedName name="TEST0" localSheetId="15">#REF!</definedName>
    <definedName name="TEST0" localSheetId="29">#REF!</definedName>
    <definedName name="TEST0" localSheetId="35">#REF!</definedName>
    <definedName name="TEST0" localSheetId="23">#REF!</definedName>
    <definedName name="TEST0" localSheetId="25">#REF!</definedName>
    <definedName name="TEST0" localSheetId="27">#REF!</definedName>
    <definedName name="TEST0" localSheetId="56">#REF!</definedName>
    <definedName name="TEST0">#REF!</definedName>
    <definedName name="TEST1" localSheetId="15">#REF!</definedName>
    <definedName name="TEST1" localSheetId="29">#REF!</definedName>
    <definedName name="TEST1" localSheetId="23">#REF!</definedName>
    <definedName name="TEST1" localSheetId="25">#REF!</definedName>
    <definedName name="TEST1" localSheetId="27">#REF!</definedName>
    <definedName name="TEST1" localSheetId="56">#REF!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3">#REF!</definedName>
    <definedName name="TEST4">#REF!</definedName>
    <definedName name="TEST5">#REF!</definedName>
    <definedName name="Test500">#REF!</definedName>
    <definedName name="TEST6">#REF!</definedName>
    <definedName name="TEST7">#REF!</definedName>
    <definedName name="TEST8">#REF!</definedName>
    <definedName name="TEST9">#REF!</definedName>
    <definedName name="TESTHKEY" localSheetId="29">#REF!</definedName>
    <definedName name="TESTHKEY" localSheetId="23">#REF!</definedName>
    <definedName name="TESTHKEY" localSheetId="25">#REF!</definedName>
    <definedName name="TESTHKEY" localSheetId="27">#REF!</definedName>
    <definedName name="TESTHKEY">#REF!</definedName>
    <definedName name="TESTKEYS" localSheetId="27">#REF!</definedName>
    <definedName name="TESTKEYS">#REF!</definedName>
    <definedName name="TESTVKEY" localSheetId="27">#REF!</definedName>
    <definedName name="TESTVKEY">#REF!</definedName>
    <definedName name="tftftf" hidden="1">#REF!</definedName>
    <definedName name="thermalPLF">#REF!</definedName>
    <definedName name="thou" localSheetId="27">#REF!</definedName>
    <definedName name="thou">#REF!</definedName>
    <definedName name="thousand" localSheetId="25">#REF!</definedName>
    <definedName name="thousand" localSheetId="27">#REF!</definedName>
    <definedName name="thousand">#REF!</definedName>
    <definedName name="THPROG" localSheetId="25">#REF!</definedName>
    <definedName name="THPROG" localSheetId="27">#REF!</definedName>
    <definedName name="THPROG">#REF!</definedName>
    <definedName name="TI_EDiv" localSheetId="29">#REF!</definedName>
    <definedName name="TI_EDiv" localSheetId="35">#REF!</definedName>
    <definedName name="TI_EDiv" localSheetId="23">#REF!</definedName>
    <definedName name="TI_EDiv" localSheetId="25">#REF!</definedName>
    <definedName name="TI_EDiv" localSheetId="27">#REF!</definedName>
    <definedName name="TI_EDiv" localSheetId="57">#REF!</definedName>
    <definedName name="TI_EDiv">#REF!</definedName>
    <definedName name="TN" localSheetId="27">#REF!</definedName>
    <definedName name="TN">#REF!</definedName>
    <definedName name="TOTAL">#REF!</definedName>
    <definedName name="Total_Interest">#REF!</definedName>
    <definedName name="Total_Pay">#REF!</definedName>
    <definedName name="Total_Payment" localSheetId="21">Scheduled_Payment+Extra_Payment</definedName>
    <definedName name="Total_Payment" localSheetId="22">Scheduled_Payment+Extra_Payment</definedName>
    <definedName name="Total_Payment" localSheetId="25">Scheduled_Payment+Extra_Payment</definedName>
    <definedName name="Total_Payment" localSheetId="1">Scheduled_Payment+Extra_Payment</definedName>
    <definedName name="Total_Payment">Scheduled_Payment+Extra_Payment</definedName>
    <definedName name="tr" localSheetId="25" hidden="1">{#N/A,#N/A,FALSE,"COVER.XLS";#N/A,#N/A,FALSE,"RACT1.XLS";#N/A,#N/A,FALSE,"RACT2.XLS";#N/A,#N/A,FALSE,"ECCMP";#N/A,#N/A,FALSE,"WELDER.XLS"}</definedName>
    <definedName name="tr" localSheetId="1" hidden="1">{#N/A,#N/A,FALSE,"COVER.XLS";#N/A,#N/A,FALSE,"RACT1.XLS";#N/A,#N/A,FALSE,"RACT2.XLS";#N/A,#N/A,FALSE,"ECCMP";#N/A,#N/A,FALSE,"WELDER.XLS"}</definedName>
    <definedName name="tr" hidden="1">{#N/A,#N/A,FALSE,"COVER.XLS";#N/A,#N/A,FALSE,"RACT1.XLS";#N/A,#N/A,FALSE,"RACT2.XLS";#N/A,#N/A,FALSE,"ECCMP";#N/A,#N/A,FALSE,"WELDER.XLS"}</definedName>
    <definedName name="Trf3_Div" localSheetId="29">#REF!</definedName>
    <definedName name="Trf3_Div" localSheetId="23">#REF!</definedName>
    <definedName name="Trf3_Div" localSheetId="25">#REF!</definedName>
    <definedName name="Trf3_Div" localSheetId="27">#REF!</definedName>
    <definedName name="Trf3_Div">#REF!</definedName>
    <definedName name="TrueUp">#REF!</definedName>
    <definedName name="try" localSheetId="25">#REF!</definedName>
    <definedName name="try">#REF!</definedName>
    <definedName name="ttl_dscnt">#REF!</definedName>
    <definedName name="TVA" localSheetId="27">#REF!</definedName>
    <definedName name="TVA">#REF!</definedName>
    <definedName name="u" localSheetId="27">#REF!</definedName>
    <definedName name="u">#REF!</definedName>
    <definedName name="UG" localSheetId="27">#REF!</definedName>
    <definedName name="UG">#REF!</definedName>
    <definedName name="ui" localSheetId="27">#REF!</definedName>
    <definedName name="ui">#REF!</definedName>
    <definedName name="uj" localSheetId="25">#REF!,#REF!</definedName>
    <definedName name="uj" localSheetId="27">#REF!,#REF!</definedName>
    <definedName name="uj">#REF!,#REF!</definedName>
    <definedName name="uma" localSheetId="25" hidden="1">{#N/A,#N/A,FALSE,"COVER1.XLS ";#N/A,#N/A,FALSE,"RACT1.XLS";#N/A,#N/A,FALSE,"RACT2.XLS";#N/A,#N/A,FALSE,"ECCMP";#N/A,#N/A,FALSE,"WELDER.XLS"}</definedName>
    <definedName name="uma" localSheetId="1" hidden="1">{#N/A,#N/A,FALSE,"COVER1.XLS ";#N/A,#N/A,FALSE,"RACT1.XLS";#N/A,#N/A,FALSE,"RACT2.XLS";#N/A,#N/A,FALSE,"ECCMP";#N/A,#N/A,FALSE,"WELDER.XLS"}</definedName>
    <definedName name="uma" hidden="1">{#N/A,#N/A,FALSE,"COVER1.XLS ";#N/A,#N/A,FALSE,"RACT1.XLS";#N/A,#N/A,FALSE,"RACT2.XLS";#N/A,#N/A,FALSE,"ECCMP";#N/A,#N/A,FALSE,"WELDER.XLS"}</definedName>
    <definedName name="un" localSheetId="25">#REF!,#REF!</definedName>
    <definedName name="un" localSheetId="27">#REF!,#REF!</definedName>
    <definedName name="un">#REF!,#REF!</definedName>
    <definedName name="Unit_Crncy">"INR Lacs"</definedName>
    <definedName name="Unit1" localSheetId="25">#REF!</definedName>
    <definedName name="Unit1" localSheetId="27">#REF!</definedName>
    <definedName name="Unit1">#REF!</definedName>
    <definedName name="Unit2" localSheetId="25">#REF!</definedName>
    <definedName name="Unit2" localSheetId="27">#REF!</definedName>
    <definedName name="Unit2">#REF!</definedName>
    <definedName name="unit3" localSheetId="29">#REF!</definedName>
    <definedName name="unit3" localSheetId="35">#REF!</definedName>
    <definedName name="unit3" localSheetId="25">#REF!</definedName>
    <definedName name="unit3" localSheetId="27">#REF!</definedName>
    <definedName name="unit3" localSheetId="57">#REF!</definedName>
    <definedName name="unit3">#REF!</definedName>
    <definedName name="Unit4" localSheetId="29">#REF!</definedName>
    <definedName name="Unit4" localSheetId="25">#REF!</definedName>
    <definedName name="Unit4" localSheetId="27">#REF!</definedName>
    <definedName name="Unit4">#REF!</definedName>
    <definedName name="UNit5" localSheetId="29">#REF!</definedName>
    <definedName name="UNit5" localSheetId="25">#REF!</definedName>
    <definedName name="UNit5" localSheetId="27">#REF!</definedName>
    <definedName name="UNit5">#REF!</definedName>
    <definedName name="Units_Sold" localSheetId="27">#REF!</definedName>
    <definedName name="Units_Sold">#REF!</definedName>
    <definedName name="Units_Sold1" localSheetId="27">#REF!</definedName>
    <definedName name="Units_Sold1">#REF!</definedName>
    <definedName name="Units_Sold2" localSheetId="27">#REF!</definedName>
    <definedName name="Units_Sold2">#REF!</definedName>
    <definedName name="unnamed">#REF!</definedName>
    <definedName name="Unrestricted_Specific_Consumption" localSheetId="27">#REF!</definedName>
    <definedName name="Unrestricted_Specific_Consumption">#REF!</definedName>
    <definedName name="Urb_Patt" localSheetId="23">#REF!</definedName>
    <definedName name="Urb_Patt" localSheetId="27">#REF!</definedName>
    <definedName name="Urb_Patt">#REF!</definedName>
    <definedName name="UserChoice">#REF!</definedName>
    <definedName name="V" localSheetId="1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2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3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2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2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2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1"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56"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5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alues_Entered" localSheetId="25">IF(F6_PP6_RPO!Loan_Amount*F6_PP6_RPO!Interest_Rate*F6_PP6_RPO!Loan_Years*F6_PP6_RPO!Loan_Start&gt;0,1,0)</definedName>
    <definedName name="Values_Entered" localSheetId="1">IF(Loan_Amount*Interest_Rate*Loan_Years*Loan_Start&gt;0,1,0)</definedName>
    <definedName name="Values_Entered">IF(Loan_Amount*Interest_Rate*Loan_Years*Loan_Start&gt;0,1,0)</definedName>
    <definedName name="Vertical_Not_Selected" localSheetId="25">#REF!</definedName>
    <definedName name="Vertical_Not_Selected" localSheetId="27">#REF!</definedName>
    <definedName name="Vertical_Not_Selected">#REF!</definedName>
    <definedName name="VIKAS.MYT"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VIKAS.MYT"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VIKAS.MY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VIKAS_DAT10" localSheetId="25">#REF!</definedName>
    <definedName name="VIKAS_DAT10">#REF!</definedName>
    <definedName name="vlde" localSheetId="29">#REF!</definedName>
    <definedName name="vlde" localSheetId="35">#REF!</definedName>
    <definedName name="vlde" localSheetId="23">#REF!</definedName>
    <definedName name="vlde" localSheetId="25">#REF!</definedName>
    <definedName name="vlde" localSheetId="27">#REF!</definedName>
    <definedName name="vlde">#REF!</definedName>
    <definedName name="W" localSheetId="27">#REF!</definedName>
    <definedName name="W">#REF!</definedName>
    <definedName name="Waiting">"Picture 1"</definedName>
    <definedName name="windPLF">#REF!</definedName>
    <definedName name="WIP_944" localSheetId="25">#REF!</definedName>
    <definedName name="WIP_944" localSheetId="27">#REF!</definedName>
    <definedName name="WIP_944">#REF!</definedName>
    <definedName name="WIPComments" localSheetId="25">#REF!</definedName>
    <definedName name="WIPComments" localSheetId="27">#REF!</definedName>
    <definedName name="WIPComments">#REF!</definedName>
    <definedName name="WIPMacroStart" localSheetId="25">#REF!</definedName>
    <definedName name="WIPMacroStart" localSheetId="27">#REF!</definedName>
    <definedName name="WIPMacroStart">#REF!</definedName>
    <definedName name="WRITBACK" localSheetId="15">#REF!</definedName>
    <definedName name="WRITBACK" localSheetId="29">#REF!</definedName>
    <definedName name="WRITBACK" localSheetId="23">#REF!</definedName>
    <definedName name="WRITBACK" localSheetId="25">#REF!</definedName>
    <definedName name="WRITBACK" localSheetId="27">#REF!</definedName>
    <definedName name="WRITBACK" localSheetId="56">#REF!</definedName>
    <definedName name="WRITBACK">#REF!</definedName>
    <definedName name="wrn" localSheetId="25"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1." localSheetId="25" hidden="1">{#N/A,#N/A,FALSE,"17MAY";#N/A,#N/A,FALSE,"24MAY"}</definedName>
    <definedName name="wrn.1." localSheetId="1" hidden="1">{#N/A,#N/A,FALSE,"17MAY";#N/A,#N/A,FALSE,"24MAY"}</definedName>
    <definedName name="wrn.1." hidden="1">{#N/A,#N/A,FALSE,"17MAY";#N/A,#N/A,FALSE,"24MAY"}</definedName>
    <definedName name="wrn.2.2" localSheetId="25" hidden="1">{#N/A,#N/A,FALSE,"17MAY";#N/A,#N/A,FALSE,"24MAY"}</definedName>
    <definedName name="wrn.2.2" localSheetId="1" hidden="1">{#N/A,#N/A,FALSE,"17MAY";#N/A,#N/A,FALSE,"24MAY"}</definedName>
    <definedName name="wrn.2.2" hidden="1">{#N/A,#N/A,FALSE,"17MAY";#N/A,#N/A,FALSE,"24MAY"}</definedName>
    <definedName name="wrn.ARR._.Forms." localSheetId="25" hidden="1">{#N/A,#N/A,FALSE,"1.1";#N/A,#N/A,FALSE,"1.1a";#N/A,#N/A,FALSE,"1.1b";#N/A,#N/A,FALSE,"1.1c";#N/A,#N/A,FALSE,"1.1e";#N/A,#N/A,FALSE,"1.1f";#N/A,#N/A,FALSE,"1.1g";#N/A,#N/A,FALSE,"1.1h_D";#N/A,#N/A,FALSE,"1.1h_T";#N/A,#N/A,FALSE,"1.2";#N/A,#N/A,FALSE,"1.3b";#N/A,#N/A,FALSE,"1.3";#N/A,#N/A,FALSE,"1.4";#N/A,#N/A,FALSE,"1.5";#N/A,#N/A,FALSE,"1.6";#N/A,#N/A,FALSE,"SOD";#N/A,#N/A,FALSE,"CF"}</definedName>
    <definedName name="wrn.ARR._.Forms." localSheetId="27" hidden="1">{#N/A,#N/A,FALSE,"1.1";#N/A,#N/A,FALSE,"1.1a";#N/A,#N/A,FALSE,"1.1b";#N/A,#N/A,FALSE,"1.1c";#N/A,#N/A,FALSE,"1.1e";#N/A,#N/A,FALSE,"1.1f";#N/A,#N/A,FALSE,"1.1g";#N/A,#N/A,FALSE,"1.1h_D";#N/A,#N/A,FALSE,"1.1h_T";#N/A,#N/A,FALSE,"1.2";#N/A,#N/A,FALSE,"1.3b";#N/A,#N/A,FALSE,"1.3";#N/A,#N/A,FALSE,"1.4";#N/A,#N/A,FALSE,"1.5";#N/A,#N/A,FALSE,"1.6";#N/A,#N/A,FALSE,"SOD";#N/A,#N/A,FALSE,"CF"}</definedName>
    <definedName name="wrn.ARR._.Forms." localSheetId="1" hidden="1">{#N/A,#N/A,FALSE,"1.1";#N/A,#N/A,FALSE,"1.1a";#N/A,#N/A,FALSE,"1.1b";#N/A,#N/A,FALSE,"1.1c";#N/A,#N/A,FALSE,"1.1e";#N/A,#N/A,FALSE,"1.1f";#N/A,#N/A,FALSE,"1.1g";#N/A,#N/A,FALSE,"1.1h_D";#N/A,#N/A,FALSE,"1.1h_T";#N/A,#N/A,FALSE,"1.2";#N/A,#N/A,FALSE,"1.3b";#N/A,#N/A,FALSE,"1.3";#N/A,#N/A,FALSE,"1.4";#N/A,#N/A,FALSE,"1.5";#N/A,#N/A,FALSE,"1.6";#N/A,#N/A,FALSE,"SOD";#N/A,#N/A,FALSE,"CF"}</definedName>
    <definedName name="wrn.ARR._.Forms." hidden="1">{#N/A,#N/A,FALSE,"1.1";#N/A,#N/A,FALSE,"1.1a";#N/A,#N/A,FALSE,"1.1b";#N/A,#N/A,FALSE,"1.1c";#N/A,#N/A,FALSE,"1.1e";#N/A,#N/A,FALSE,"1.1f";#N/A,#N/A,FALSE,"1.1g";#N/A,#N/A,FALSE,"1.1h_D";#N/A,#N/A,FALSE,"1.1h_T";#N/A,#N/A,FALSE,"1.2";#N/A,#N/A,FALSE,"1.3b";#N/A,#N/A,FALSE,"1.3";#N/A,#N/A,FALSE,"1.4";#N/A,#N/A,FALSE,"1.5";#N/A,#N/A,FALSE,"1.6";#N/A,#N/A,FALSE,"SOD";#N/A,#N/A,FALSE,"CF"}</definedName>
    <definedName name="wrn.ARR._.Output." localSheetId="29"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35"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23"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25"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27"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1"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57" hidden="1">{#N/A,#N/A,FALSE,"1.1";#N/A,#N/A,FALSE,"1.1a";#N/A,#N/A,FALSE,"1.1b";#N/A,#N/A,FALSE,"1.1c";#N/A,#N/A,FALSE,"1.1e";#N/A,#N/A,FALSE,"1.1f";#N/A,#N/A,FALSE,"1.1g";#N/A,#N/A,FALSE,"1.1h_T";#N/A,#N/A,FALSE,"1.1h_D";#N/A,#N/A,FALSE,"1.2";#N/A,#N/A,FALSE,"1.3";#N/A,#N/A,FALSE,"1.3b";#N/A,#N/A,FALSE,"1.4";#N/A,#N/A,FALSE,"1.5";#N/A,#N/A,FALSE,"1.6";#N/A,#N/A,FALSE,"2.1";#N/A,#N/A,FALSE,"SOD";#N/A,#N/A,FALSE,"OL";#N/A,#N/A,FALSE,"CF"}</definedName>
    <definedName name="wrn.ARR._.Output." hidden="1">{#N/A,#N/A,FALSE,"1.1";#N/A,#N/A,FALSE,"1.1a";#N/A,#N/A,FALSE,"1.1b";#N/A,#N/A,FALSE,"1.1c";#N/A,#N/A,FALSE,"1.1e";#N/A,#N/A,FALSE,"1.1f";#N/A,#N/A,FALSE,"1.1g";#N/A,#N/A,FALSE,"1.1h_T";#N/A,#N/A,FALSE,"1.1h_D";#N/A,#N/A,FALSE,"1.2";#N/A,#N/A,FALSE,"1.3";#N/A,#N/A,FALSE,"1.3b";#N/A,#N/A,FALSE,"1.4";#N/A,#N/A,FALSE,"1.5";#N/A,#N/A,FALSE,"1.6";#N/A,#N/A,FALSE,"2.1";#N/A,#N/A,FALSE,"SOD";#N/A,#N/A,FALSE,"OL";#N/A,#N/A,FALSE,"CF"}</definedName>
    <definedName name="wrn.Consolidated._.report._.on._.all._.companies." localSheetId="25"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27"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1"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umable." localSheetId="25" hidden="1">{#N/A,#N/A,FALSE,"consu_cover";#N/A,#N/A,FALSE,"consu_strategy";#N/A,#N/A,FALSE,"consu_flow";#N/A,#N/A,FALSE,"Summary_reqmt";#N/A,#N/A,FALSE,"field_ppg";#N/A,#N/A,FALSE,"ppg_shop";#N/A,#N/A,FALSE,"strl";#N/A,#N/A,FALSE,"tankages";#N/A,#N/A,FALSE,"gases"}</definedName>
    <definedName name="wrn.consumable." localSheetId="1" hidden="1">{#N/A,#N/A,FALSE,"consu_cover";#N/A,#N/A,FALSE,"consu_strategy";#N/A,#N/A,FALSE,"consu_flow";#N/A,#N/A,FALSE,"Summary_reqmt";#N/A,#N/A,FALSE,"field_ppg";#N/A,#N/A,FALSE,"ppg_shop";#N/A,#N/A,FALSE,"strl";#N/A,#N/A,FALSE,"tankages";#N/A,#N/A,FALSE,"gases"}</definedName>
    <definedName name="wrn.consumable." hidden="1">{#N/A,#N/A,FALSE,"consu_cover";#N/A,#N/A,FALSE,"consu_strategy";#N/A,#N/A,FALSE,"consu_flow";#N/A,#N/A,FALSE,"Summary_reqmt";#N/A,#N/A,FALSE,"field_ppg";#N/A,#N/A,FALSE,"ppg_shop";#N/A,#N/A,FALSE,"strl";#N/A,#N/A,FALSE,"tankages";#N/A,#N/A,FALSE,"gases"}</definedName>
    <definedName name="wrn.Dispatch._.Workbook." localSheetId="1" hidden="1">{"loss",#N/A,TRUE,"Losses";"agg-demand",#N/A,TRUE,"Demand";"disagg-demand",#N/A,TRUE,"Demand";"summ-demand",#N/A,TRUE,"Demand";"mix-demand",#N/A,TRUE,"Demand";"consump-demand",#N/A,TRUE,"Demand";"avail-demand",#N/A,TRUE,"Demand";"dispatch",#N/A,TRUE,"Dispatch";"existing_plants",#N/A,TRUE,"Existing_Plants";"ipp_base",#N/A,TRUE,"New_Plants";"ipp_tariff",#N/A,TRUE,"New_Plants";"ipp_summ",#N/A,TRUE,"New_Plants";"newcpsu_assump",#N/A,TRUE,"New_Plants";"newcpsu_summ",#N/A,TRUE,"New_Plants"}</definedName>
    <definedName name="wrn.Dispatch._.Workbook." hidden="1">{"loss",#N/A,TRUE,"Losses";"agg-demand",#N/A,TRUE,"Demand";"disagg-demand",#N/A,TRUE,"Demand";"summ-demand",#N/A,TRUE,"Demand";"mix-demand",#N/A,TRUE,"Demand";"consump-demand",#N/A,TRUE,"Demand";"avail-demand",#N/A,TRUE,"Demand";"dispatch",#N/A,TRUE,"Dispatch";"existing_plants",#N/A,TRUE,"Existing_Plants";"ipp_base",#N/A,TRUE,"New_Plants";"ipp_tariff",#N/A,TRUE,"New_Plants";"ipp_summ",#N/A,TRUE,"New_Plants";"newcpsu_assump",#N/A,TRUE,"New_Plants";"newcpsu_summ",#N/A,TRUE,"New_Plants"}</definedName>
    <definedName name="wrn.elect." localSheetId="25"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localSheetId="1"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Formats." localSheetId="2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3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23"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25"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2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1"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5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Output._.forms." localSheetId="25"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27"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1"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Forms." localSheetId="25"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27"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1"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piping." localSheetId="25"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localSheetId="1"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P." localSheetId="25" hidden="1">{#N/A,#N/A,FALSE,"2002-03 Form 1.3a";#N/A,#N/A,FALSE,"2003-04 Form 1.3a";#N/A,#N/A,FALSE,"Avai- CY";#N/A,#N/A,FALSE,"Avai- EY";#N/A,#N/A,FALSE,"Demand vs Availability"}</definedName>
    <definedName name="wrn.PP." localSheetId="27" hidden="1">{#N/A,#N/A,FALSE,"2002-03 Form 1.3a";#N/A,#N/A,FALSE,"2003-04 Form 1.3a";#N/A,#N/A,FALSE,"Avai- CY";#N/A,#N/A,FALSE,"Avai- EY";#N/A,#N/A,FALSE,"Demand vs Availability"}</definedName>
    <definedName name="wrn.PP." localSheetId="1" hidden="1">{#N/A,#N/A,FALSE,"2002-03 Form 1.3a";#N/A,#N/A,FALSE,"2003-04 Form 1.3a";#N/A,#N/A,FALSE,"Avai- CY";#N/A,#N/A,FALSE,"Avai- EY";#N/A,#N/A,FALSE,"Demand vs Availability"}</definedName>
    <definedName name="wrn.PP." hidden="1">{#N/A,#N/A,FALSE,"2002-03 Form 1.3a";#N/A,#N/A,FALSE,"2003-04 Form 1.3a";#N/A,#N/A,FALSE,"Avai- CY";#N/A,#N/A,FALSE,"Avai- EY";#N/A,#N/A,FALSE,"Demand vs Availability"}</definedName>
    <definedName name="wrn.RCC." localSheetId="25"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localSheetId="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eport." localSheetId="25" hidden="1">{#N/A,#N/A,FALSE,"COVER.XLS";#N/A,#N/A,FALSE,"RACT1.XLS";#N/A,#N/A,FALSE,"RACT2.XLS";#N/A,#N/A,FALSE,"ECCMP";#N/A,#N/A,FALSE,"WELDER.XLS"}</definedName>
    <definedName name="wrn.report." localSheetId="1" hidden="1">{#N/A,#N/A,FALSE,"COVER.XLS";#N/A,#N/A,FALSE,"RACT1.XLS";#N/A,#N/A,FALSE,"RACT2.XLS";#N/A,#N/A,FALSE,"ECCMP";#N/A,#N/A,FALSE,"WELDER.XLS"}</definedName>
    <definedName name="wrn.report." hidden="1">{#N/A,#N/A,FALSE,"COVER.XLS";#N/A,#N/A,FALSE,"RACT1.XLS";#N/A,#N/A,FALSE,"RACT2.XLS";#N/A,#N/A,FALSE,"ECCMP";#N/A,#N/A,FALSE,"WELDER.XLS"}</definedName>
    <definedName name="wrn.Reports._.of._.NPDCL." localSheetId="25"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27"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1"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PLINS." localSheetId="25" hidden="1">{#N/A,#N/A,FALSE,"str_title";#N/A,#N/A,FALSE,"SUM";#N/A,#N/A,FALSE,"Scope";#N/A,#N/A,FALSE,"PIE-Jn";#N/A,#N/A,FALSE,"PIE-Jn_Hz";#N/A,#N/A,FALSE,"Liq_Plan";#N/A,#N/A,FALSE,"S_Curve";#N/A,#N/A,FALSE,"Liq_Prof";#N/A,#N/A,FALSE,"Man_Pwr";#N/A,#N/A,FALSE,"Man_Prof"}</definedName>
    <definedName name="wrn.RPLINS." localSheetId="1" hidden="1">{#N/A,#N/A,FALSE,"str_title";#N/A,#N/A,FALSE,"SUM";#N/A,#N/A,FALSE,"Scope";#N/A,#N/A,FALSE,"PIE-Jn";#N/A,#N/A,FALSE,"PIE-Jn_Hz";#N/A,#N/A,FALSE,"Liq_Plan";#N/A,#N/A,FALSE,"S_Curve";#N/A,#N/A,FALSE,"Liq_Prof";#N/A,#N/A,FALSE,"Man_Pwr";#N/A,#N/A,FALSE,"Man_Prof"}</definedName>
    <definedName name="wrn.RPLINS." hidden="1">{#N/A,#N/A,FALSE,"str_title";#N/A,#N/A,FALSE,"SUM";#N/A,#N/A,FALSE,"Scope";#N/A,#N/A,FALSE,"PIE-Jn";#N/A,#N/A,FALSE,"PIE-Jn_Hz";#N/A,#N/A,FALSE,"Liq_Plan";#N/A,#N/A,FALSE,"S_Curve";#N/A,#N/A,FALSE,"Liq_Prof";#N/A,#N/A,FALSE,"Man_Pwr";#N/A,#N/A,FALSE,"Man_Prof"}</definedName>
    <definedName name="wrn.summ1" localSheetId="25" hidden="1">{#N/A,#N/A,FALSE,"COVER1.XLS ";#N/A,#N/A,FALSE,"RACT1.XLS";#N/A,#N/A,FALSE,"RACT2.XLS";#N/A,#N/A,FALSE,"ECCMP";#N/A,#N/A,FALSE,"WELDER.XLS"}</definedName>
    <definedName name="wrn.summ1" localSheetId="1" hidden="1">{#N/A,#N/A,FALSE,"COVER1.XLS ";#N/A,#N/A,FALSE,"RACT1.XLS";#N/A,#N/A,FALSE,"RACT2.XLS";#N/A,#N/A,FALSE,"ECCMP";#N/A,#N/A,FALSE,"WELDER.XLS"}</definedName>
    <definedName name="wrn.summ1" hidden="1">{#N/A,#N/A,FALSE,"COVER1.XLS ";#N/A,#N/A,FALSE,"RACT1.XLS";#N/A,#N/A,FALSE,"RACT2.XLS";#N/A,#N/A,FALSE,"ECCMP";#N/A,#N/A,FALSE,"WELDER.XLS"}</definedName>
    <definedName name="wrn.summary." localSheetId="25" hidden="1">{#N/A,#N/A,FALSE,"COVER1.XLS ";#N/A,#N/A,FALSE,"RACT1.XLS";#N/A,#N/A,FALSE,"RACT2.XLS";#N/A,#N/A,FALSE,"ECCMP";#N/A,#N/A,FALSE,"WELDER.XLS"}</definedName>
    <definedName name="wrn.summary." localSheetId="1" hidden="1">{#N/A,#N/A,FALSE,"COVER1.XLS ";#N/A,#N/A,FALSE,"RACT1.XLS";#N/A,#N/A,FALSE,"RACT2.XLS";#N/A,#N/A,FALSE,"ECCMP";#N/A,#N/A,FALSE,"WELDER.XLS"}</definedName>
    <definedName name="wrn.summary." hidden="1">{#N/A,#N/A,FALSE,"COVER1.XLS ";#N/A,#N/A,FALSE,"RACT1.XLS";#N/A,#N/A,FALSE,"RACT2.XLS";#N/A,#N/A,FALSE,"ECCMP";#N/A,#N/A,FALSE,"WELDER.XLS"}</definedName>
    <definedName name="wrn.WorkBook._.Print." localSheetId="1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2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3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2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2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2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1"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56"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5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0" localSheetId="25" hidden="1">{#N/A,#N/A,FALSE,"COVER1.XLS ";#N/A,#N/A,FALSE,"RACT1.XLS";#N/A,#N/A,FALSE,"RACT2.XLS";#N/A,#N/A,FALSE,"ECCMP";#N/A,#N/A,FALSE,"WELDER.XLS"}</definedName>
    <definedName name="WRN0" localSheetId="1" hidden="1">{#N/A,#N/A,FALSE,"COVER1.XLS ";#N/A,#N/A,FALSE,"RACT1.XLS";#N/A,#N/A,FALSE,"RACT2.XLS";#N/A,#N/A,FALSE,"ECCMP";#N/A,#N/A,FALSE,"WELDER.XLS"}</definedName>
    <definedName name="WRN0" hidden="1">{#N/A,#N/A,FALSE,"COVER1.XLS ";#N/A,#N/A,FALSE,"RACT1.XLS";#N/A,#N/A,FALSE,"RACT2.XLS";#N/A,#N/A,FALSE,"ECCMP";#N/A,#N/A,FALSE,"WELDER.XLS"}</definedName>
    <definedName name="WWWW" localSheetId="25" hidden="1">{#N/A,#N/A,FALSE,"COVER.XLS";#N/A,#N/A,FALSE,"RACT1.XLS";#N/A,#N/A,FALSE,"RACT2.XLS";#N/A,#N/A,FALSE,"ECCMP";#N/A,#N/A,FALSE,"WELDER.XLS"}</definedName>
    <definedName name="WWWW" localSheetId="1" hidden="1">{#N/A,#N/A,FALSE,"COVER.XLS";#N/A,#N/A,FALSE,"RACT1.XLS";#N/A,#N/A,FALSE,"RACT2.XLS";#N/A,#N/A,FALSE,"ECCMP";#N/A,#N/A,FALSE,"WELDER.XLS"}</definedName>
    <definedName name="WWWW" hidden="1">{#N/A,#N/A,FALSE,"COVER.XLS";#N/A,#N/A,FALSE,"RACT1.XLS";#N/A,#N/A,FALSE,"RACT2.XLS";#N/A,#N/A,FALSE,"ECCMP";#N/A,#N/A,FALSE,"WELDER.XLS"}</definedName>
    <definedName name="x" localSheetId="15">#REF!</definedName>
    <definedName name="x" localSheetId="16">#REF!</definedName>
    <definedName name="x" localSheetId="29">#REF!</definedName>
    <definedName name="x" localSheetId="35">#REF!</definedName>
    <definedName name="x" localSheetId="38">#REF!</definedName>
    <definedName name="x" localSheetId="43">#REF!</definedName>
    <definedName name="x" localSheetId="44">#REF!</definedName>
    <definedName name="x" localSheetId="21">#REF!</definedName>
    <definedName name="x" localSheetId="22">#REF!</definedName>
    <definedName name="x" localSheetId="20">#REF!</definedName>
    <definedName name="x" localSheetId="23">#REF!</definedName>
    <definedName name="x" localSheetId="25">#REF!</definedName>
    <definedName name="x" localSheetId="27">#REF!</definedName>
    <definedName name="x" localSheetId="56">#REF!</definedName>
    <definedName name="x" localSheetId="57">#REF!</definedName>
    <definedName name="x">#REF!</definedName>
    <definedName name="X1_" localSheetId="15">#REF!</definedName>
    <definedName name="X1_" localSheetId="29">#REF!</definedName>
    <definedName name="X1_" localSheetId="35">#REF!</definedName>
    <definedName name="X1_" localSheetId="38">#REF!</definedName>
    <definedName name="X1_" localSheetId="43">#REF!</definedName>
    <definedName name="X1_" localSheetId="44">#REF!</definedName>
    <definedName name="X1_" localSheetId="21">#REF!</definedName>
    <definedName name="X1_" localSheetId="22">#REF!</definedName>
    <definedName name="X1_" localSheetId="20">#REF!</definedName>
    <definedName name="X1_" localSheetId="23">#REF!</definedName>
    <definedName name="X1_" localSheetId="25">#REF!</definedName>
    <definedName name="X1_" localSheetId="27">#REF!</definedName>
    <definedName name="X1_" localSheetId="56">#REF!</definedName>
    <definedName name="X1_">#REF!</definedName>
    <definedName name="XLRPARAMS_COMPNAME" localSheetId="25" hidden="1">#REF!</definedName>
    <definedName name="XLRPARAMS_COMPNAME" localSheetId="27" hidden="1">#REF!</definedName>
    <definedName name="XLRPARAMS_COMPNAME" hidden="1">#REF!</definedName>
    <definedName name="XLRPARAMS_PAYDT1" localSheetId="25" hidden="1">#REF!</definedName>
    <definedName name="XLRPARAMS_PAYDT1" localSheetId="27" hidden="1">#REF!</definedName>
    <definedName name="XLRPARAMS_PAYDT1" hidden="1">#REF!</definedName>
    <definedName name="XLRPARAMS_PAYDT10" localSheetId="25" hidden="1">#REF!</definedName>
    <definedName name="XLRPARAMS_PAYDT10" localSheetId="27" hidden="1">#REF!</definedName>
    <definedName name="XLRPARAMS_PAYDT10" hidden="1">#REF!</definedName>
    <definedName name="XLRPARAMS_PAYDT11" localSheetId="25" hidden="1">#REF!</definedName>
    <definedName name="XLRPARAMS_PAYDT11" localSheetId="27" hidden="1">#REF!</definedName>
    <definedName name="XLRPARAMS_PAYDT11" hidden="1">#REF!</definedName>
    <definedName name="XLRPARAMS_PAYDT12" localSheetId="25" hidden="1">#REF!</definedName>
    <definedName name="XLRPARAMS_PAYDT12" localSheetId="27" hidden="1">#REF!</definedName>
    <definedName name="XLRPARAMS_PAYDT12" hidden="1">#REF!</definedName>
    <definedName name="XLRPARAMS_PAYDT2" localSheetId="25" hidden="1">#REF!</definedName>
    <definedName name="XLRPARAMS_PAYDT2" localSheetId="27" hidden="1">#REF!</definedName>
    <definedName name="XLRPARAMS_PAYDT2" hidden="1">#REF!</definedName>
    <definedName name="XLRPARAMS_PAYDT3" localSheetId="25" hidden="1">#REF!</definedName>
    <definedName name="XLRPARAMS_PAYDT3" localSheetId="27" hidden="1">#REF!</definedName>
    <definedName name="XLRPARAMS_PAYDT3" hidden="1">#REF!</definedName>
    <definedName name="XLRPARAMS_PAYDT4" localSheetId="25" hidden="1">#REF!</definedName>
    <definedName name="XLRPARAMS_PAYDT4" localSheetId="27" hidden="1">#REF!</definedName>
    <definedName name="XLRPARAMS_PAYDT4" hidden="1">#REF!</definedName>
    <definedName name="XLRPARAMS_PAYDT5" localSheetId="25" hidden="1">#REF!</definedName>
    <definedName name="XLRPARAMS_PAYDT5" localSheetId="27" hidden="1">#REF!</definedName>
    <definedName name="XLRPARAMS_PAYDT5" hidden="1">#REF!</definedName>
    <definedName name="XLRPARAMS_PAYDT6" localSheetId="25" hidden="1">#REF!</definedName>
    <definedName name="XLRPARAMS_PAYDT6" localSheetId="27" hidden="1">#REF!</definedName>
    <definedName name="XLRPARAMS_PAYDT6" hidden="1">#REF!</definedName>
    <definedName name="XLRPARAMS_PAYDT7" localSheetId="25" hidden="1">#REF!</definedName>
    <definedName name="XLRPARAMS_PAYDT7" localSheetId="27" hidden="1">#REF!</definedName>
    <definedName name="XLRPARAMS_PAYDT7" hidden="1">#REF!</definedName>
    <definedName name="XLRPARAMS_PAYDT8" localSheetId="25" hidden="1">#REF!</definedName>
    <definedName name="XLRPARAMS_PAYDT8" localSheetId="27" hidden="1">#REF!</definedName>
    <definedName name="XLRPARAMS_PAYDT8" hidden="1">#REF!</definedName>
    <definedName name="XLRPARAMS_PAYDT9" localSheetId="25" hidden="1">#REF!</definedName>
    <definedName name="XLRPARAMS_PAYDT9" localSheetId="27" hidden="1">#REF!</definedName>
    <definedName name="XLRPARAMS_PAYDT9" hidden="1">#REF!</definedName>
    <definedName name="xx" localSheetId="25">#REF!</definedName>
    <definedName name="xx">#REF!</definedName>
    <definedName name="xxxCLabel1.1.Displacement">-1</definedName>
    <definedName name="xxxCLabel1.1.Label">"02	February"</definedName>
    <definedName name="xxxCLabel1.1.Prompt">1</definedName>
    <definedName name="xxxCLabel2.1.Displacement">0</definedName>
    <definedName name="xxxCLabel2.1.Label">"02	February"</definedName>
    <definedName name="xxxCLabel2.1.Prompt">1</definedName>
    <definedName name="xxxCLabel3.1.Displacement">0</definedName>
    <definedName name="xxxCLabel3.1.Label">"02	February"</definedName>
    <definedName name="xxxCLabel3.1.Prompt">1</definedName>
    <definedName name="xxxCLabel4.1.Displacement">0</definedName>
    <definedName name="xxxCLabel4.1.Label">"02	February"</definedName>
    <definedName name="xxxCLabel4.1.Prompt">1</definedName>
    <definedName name="xxxCLabel5.1.Displacement">0</definedName>
    <definedName name="xxxCLabel5.1.Label">"02	February"</definedName>
    <definedName name="xxxCLabel5.1.Prompt">1</definedName>
    <definedName name="xxxColHeader1bx">0</definedName>
    <definedName name="xxxColHeader1by">11</definedName>
    <definedName name="xxxColHeader1ex">0</definedName>
    <definedName name="xxxColHeader1ey">11</definedName>
    <definedName name="xxxColHeader2bx">0</definedName>
    <definedName name="xxxColHeader2by">123</definedName>
    <definedName name="xxxColHeader2ex">0</definedName>
    <definedName name="xxxColHeader2ey">123</definedName>
    <definedName name="xxxColHeader3bx">0</definedName>
    <definedName name="xxxColHeader3by">177</definedName>
    <definedName name="xxxColHeader3ex">0</definedName>
    <definedName name="xxxColHeader3ey">177</definedName>
    <definedName name="xxxColHeader4bx">0</definedName>
    <definedName name="xxxColHeader4by">200</definedName>
    <definedName name="xxxColHeader4ex">0</definedName>
    <definedName name="xxxColHeader4ey">200</definedName>
    <definedName name="xxxColHeader5bx">0</definedName>
    <definedName name="xxxColHeader5by">59</definedName>
    <definedName name="xxxColHeader5ex">0</definedName>
    <definedName name="xxxColHeader5ey">59</definedName>
    <definedName name="xxxColLabels1bx">1</definedName>
    <definedName name="xxxColLabels1by">11</definedName>
    <definedName name="xxxColLabels1ex">1</definedName>
    <definedName name="xxxColLabels1ey">11</definedName>
    <definedName name="xxxColLabels2bx">1</definedName>
    <definedName name="xxxColLabels2by">123</definedName>
    <definedName name="xxxColLabels2ex">1</definedName>
    <definedName name="xxxColLabels2ey">123</definedName>
    <definedName name="xxxColLabels3bx">1</definedName>
    <definedName name="xxxColLabels3by">177</definedName>
    <definedName name="xxxColLabels3ex">1</definedName>
    <definedName name="xxxColLabels3ey">177</definedName>
    <definedName name="xxxColLabels4bx">1</definedName>
    <definedName name="xxxColLabels4by">200</definedName>
    <definedName name="xxxColLabels4ex">1</definedName>
    <definedName name="xxxColLabels4ey">200</definedName>
    <definedName name="xxxColLabels5bx">1</definedName>
    <definedName name="xxxColLabels5by">59</definedName>
    <definedName name="xxxColLabels5ex">1</definedName>
    <definedName name="xxxColLabels5ey">59</definedName>
    <definedName name="xxxCommon1DimValue1.1">"'0001"</definedName>
    <definedName name="xxxCommon1DimValue1.2">"Profit &amp; Loss"</definedName>
    <definedName name="xxxCommon1DimValue2.1">"A"</definedName>
    <definedName name="xxxCommon1DimValue2.2">"ACTUAL"</definedName>
    <definedName name="xxxCommon1DimValue3.1">"'18010"</definedName>
    <definedName name="xxxCommon1DimValue3.2">"ROULUNDS CODAN INDIA LTD."</definedName>
    <definedName name="xxxCommon1DimValue4.1">"Year-to-Date"</definedName>
    <definedName name="xxxCommon1DimValue4.2">"Year to date P&amp;L Accumulation"</definedName>
    <definedName name="xxxCommon1DimValue5.1">"'2003"</definedName>
    <definedName name="xxxCommon1DimValue5.2">2003</definedName>
    <definedName name="xxxCommon1DimValue6.1">"'0000"</definedName>
    <definedName name="xxxCommon1DimValue6.2">"Total"</definedName>
    <definedName name="xxxCommon1DimValue7.1">"Local"</definedName>
    <definedName name="xxxCommon1DimValue7.2">"Local Currency"</definedName>
    <definedName name="xxxCommon1DimValue8.1">"Net-of-Adjustments"</definedName>
    <definedName name="xxxCommon1DimValue8.2">"Net-of-Adjustments Datatype"</definedName>
    <definedName name="xxxCommon2DimValue1.1">"'0006"</definedName>
    <definedName name="xxxCommon2DimValue1.2">"Cashflow Statement"</definedName>
    <definedName name="xxxCommon2DimValue2.1">"A"</definedName>
    <definedName name="xxxCommon2DimValue2.2">"ACTUAL"</definedName>
    <definedName name="xxxCommon2DimValue3.1">"'18010"</definedName>
    <definedName name="xxxCommon2DimValue3.2">"ROULUNDS CODAN INDIA LTD."</definedName>
    <definedName name="xxxCommon2DimValue4.1">"Year-to-Date"</definedName>
    <definedName name="xxxCommon2DimValue4.2">"Year to date P&amp;L Accumulation"</definedName>
    <definedName name="xxxCommon2DimValue5.1">"'2003"</definedName>
    <definedName name="xxxCommon2DimValue5.2">2003</definedName>
    <definedName name="xxxCommon2DimValue6.1">"'0000"</definedName>
    <definedName name="xxxCommon2DimValue6.2">"Total"</definedName>
    <definedName name="xxxCommon2DimValue7.1">"Local"</definedName>
    <definedName name="xxxCommon2DimValue7.2">"Local Currency"</definedName>
    <definedName name="xxxCommon2DimValue8.1">"Net-of-Adjustments"</definedName>
    <definedName name="xxxCommon2DimValue8.2">"Net-of-Adjustments Datatype"</definedName>
    <definedName name="xxxCommon3DimValue1.1">"'0030"</definedName>
    <definedName name="xxxCommon3DimValue1.2">"Orders received"</definedName>
    <definedName name="xxxCommon3DimValue2.1">"A"</definedName>
    <definedName name="xxxCommon3DimValue2.2">"ACTUAL"</definedName>
    <definedName name="xxxCommon3DimValue3.1">"'18010"</definedName>
    <definedName name="xxxCommon3DimValue3.2">"ROULUNDS CODAN INDIA LTD."</definedName>
    <definedName name="xxxCommon3DimValue4.1">"Year-to-Date"</definedName>
    <definedName name="xxxCommon3DimValue4.2">"Year to date P&amp;L Accumulation"</definedName>
    <definedName name="xxxCommon3DimValue5.1">"'2003"</definedName>
    <definedName name="xxxCommon3DimValue5.2">2003</definedName>
    <definedName name="xxxCommon3DimValue6.1">"'0000"</definedName>
    <definedName name="xxxCommon3DimValue6.2">"Total"</definedName>
    <definedName name="xxxCommon3DimValue7.1">"Local"</definedName>
    <definedName name="xxxCommon3DimValue7.2">"Local Currency"</definedName>
    <definedName name="xxxCommon3DimValue8.1">"Net-of-Adjustments"</definedName>
    <definedName name="xxxCommon3DimValue8.2">"Net-of-Adjustments Datatype"</definedName>
    <definedName name="xxxCommon4DimValue1.1">"'0032"</definedName>
    <definedName name="xxxCommon4DimValue1.2">"Orders period end"</definedName>
    <definedName name="xxxCommon4DimValue2.1">"A"</definedName>
    <definedName name="xxxCommon4DimValue2.2">"ACTUAL"</definedName>
    <definedName name="xxxCommon4DimValue3.1">"'18010"</definedName>
    <definedName name="xxxCommon4DimValue3.2">"ROULUNDS CODAN INDIA LTD."</definedName>
    <definedName name="xxxCommon4DimValue4.1">"Year-to-Date"</definedName>
    <definedName name="xxxCommon4DimValue4.2">"Year to date P&amp;L Accumulation"</definedName>
    <definedName name="xxxCommon4DimValue5.1">"'2003"</definedName>
    <definedName name="xxxCommon4DimValue5.2">2003</definedName>
    <definedName name="xxxCommon4DimValue6.1">"'0000"</definedName>
    <definedName name="xxxCommon4DimValue6.2">"Total"</definedName>
    <definedName name="xxxCommon4DimValue7.1">"Local"</definedName>
    <definedName name="xxxCommon4DimValue7.2">"Local Currency"</definedName>
    <definedName name="xxxCommon4DimValue8.1">"Net-of-Adjustments"</definedName>
    <definedName name="xxxCommon4DimValue8.2">"Net-of-Adjustments Datatype"</definedName>
    <definedName name="xxxCommon5DimValue1.1">"'0005"</definedName>
    <definedName name="xxxCommon5DimValue1.2">"Balance Sheet"</definedName>
    <definedName name="xxxCommon5DimValue2.1">"A"</definedName>
    <definedName name="xxxCommon5DimValue2.2">"ACTUAL"</definedName>
    <definedName name="xxxCommon5DimValue3.1">"'18010"</definedName>
    <definedName name="xxxCommon5DimValue3.2">"ROULUNDS CODAN INDIA LTD."</definedName>
    <definedName name="xxxCommon5DimValue4.1">"Year-to-Date"</definedName>
    <definedName name="xxxCommon5DimValue4.2">"Year to date P&amp;L Accumulation"</definedName>
    <definedName name="xxxCommon5DimValue5.1">"'2003"</definedName>
    <definedName name="xxxCommon5DimValue5.2">2003</definedName>
    <definedName name="xxxCommon5DimValue6.1">"'0000"</definedName>
    <definedName name="xxxCommon5DimValue6.2">"Total"</definedName>
    <definedName name="xxxCommon5DimValue7.1">"Local"</definedName>
    <definedName name="xxxCommon5DimValue7.2">"Local Currency"</definedName>
    <definedName name="xxxCommon5DimValue8.1">"Net-of-Adjustments"</definedName>
    <definedName name="xxxCommon5DimValue8.2">"Net-of-Adjustments Datatype"</definedName>
    <definedName name="xxxCommonArea1bx">0</definedName>
    <definedName name="xxxCommonArea1by">2</definedName>
    <definedName name="xxxCommonArea1ex">2</definedName>
    <definedName name="xxxCommonArea1ey">9</definedName>
    <definedName name="xxxCommonArea2bx">0</definedName>
    <definedName name="xxxCommonArea2by">114</definedName>
    <definedName name="xxxCommonArea2ex">2</definedName>
    <definedName name="xxxCommonArea2ey">121</definedName>
    <definedName name="xxxCommonArea3bx">0</definedName>
    <definedName name="xxxCommonArea3by">168</definedName>
    <definedName name="xxxCommonArea3ex">2</definedName>
    <definedName name="xxxCommonArea3ey">175</definedName>
    <definedName name="xxxCommonArea4bx">0</definedName>
    <definedName name="xxxCommonArea4by">191</definedName>
    <definedName name="xxxCommonArea4ex">2</definedName>
    <definedName name="xxxCommonArea4ey">198</definedName>
    <definedName name="xxxCommonArea5bx">0</definedName>
    <definedName name="xxxCommonArea5by">50</definedName>
    <definedName name="xxxCommonArea5ex">2</definedName>
    <definedName name="xxxCommonArea5ey">57</definedName>
    <definedName name="xxxDataBlock1bx">1</definedName>
    <definedName name="xxxDataBlock1by">15</definedName>
    <definedName name="xxxDataBlock1ex">1</definedName>
    <definedName name="xxxDataBlock1ey">46</definedName>
    <definedName name="xxxDataBlock2bx">1</definedName>
    <definedName name="xxxDataBlock2by">127</definedName>
    <definedName name="xxxDataBlock2ex">1</definedName>
    <definedName name="xxxDataBlock2ey">163</definedName>
    <definedName name="xxxDataBlock3bx">1</definedName>
    <definedName name="xxxDataBlock3by">181</definedName>
    <definedName name="xxxDataBlock3ex">1</definedName>
    <definedName name="xxxDataBlock3ey">186</definedName>
    <definedName name="xxxDataBlock4bx">1</definedName>
    <definedName name="xxxDataBlock4by">204</definedName>
    <definedName name="xxxDataBlock4ex">1</definedName>
    <definedName name="xxxDataBlock4ey">211</definedName>
    <definedName name="xxxDataBlock5bx">1</definedName>
    <definedName name="xxxDataBlock5by">63</definedName>
    <definedName name="xxxDataBlock5ex">1</definedName>
    <definedName name="xxxDataBlock5ey">109</definedName>
    <definedName name="xxxDownfootCols1Count">0</definedName>
    <definedName name="xxxDownfootCols2Count">0</definedName>
    <definedName name="xxxDownfootCols3Count">0</definedName>
    <definedName name="xxxDownfootCols4Count">0</definedName>
    <definedName name="xxxDownfootCols5Count">0</definedName>
    <definedName name="xxxDownfootRows1Count">8</definedName>
    <definedName name="xxxDownfootRows1Number0">17</definedName>
    <definedName name="xxxDownfootRows1Number1">22</definedName>
    <definedName name="xxxDownfootRows1Number2">25</definedName>
    <definedName name="xxxDownfootRows1Number3">36</definedName>
    <definedName name="xxxDownfootRows1Number4">37</definedName>
    <definedName name="xxxDownfootRows1Number5">42</definedName>
    <definedName name="xxxDownfootRows1Number6">44</definedName>
    <definedName name="xxxDownfootRows1Number7">46</definedName>
    <definedName name="xxxDownfootRows2Count">7</definedName>
    <definedName name="xxxDownfootRows2Number0">129</definedName>
    <definedName name="xxxDownfootRows2Number1">131</definedName>
    <definedName name="xxxDownfootRows2Number2">134</definedName>
    <definedName name="xxxDownfootRows2Number3">142</definedName>
    <definedName name="xxxDownfootRows2Number4">153</definedName>
    <definedName name="xxxDownfootRows2Number5">154</definedName>
    <definedName name="xxxDownfootRows2Number6">163</definedName>
    <definedName name="xxxDownfootRows3Count">2</definedName>
    <definedName name="xxxDownfootRows3Number0">183</definedName>
    <definedName name="xxxDownfootRows3Number1">186</definedName>
    <definedName name="xxxDownfootRows4Count">2</definedName>
    <definedName name="xxxDownfootRows4Number0">207</definedName>
    <definedName name="xxxDownfootRows4Number1">211</definedName>
    <definedName name="xxxDownfootRows5Count">16</definedName>
    <definedName name="xxxDownfootRows5Number0">67</definedName>
    <definedName name="xxxDownfootRows5Number1">72</definedName>
    <definedName name="xxxDownfootRows5Number10">98</definedName>
    <definedName name="xxxDownfootRows5Number11">101</definedName>
    <definedName name="xxxDownfootRows5Number12">105</definedName>
    <definedName name="xxxDownfootRows5Number13">107</definedName>
    <definedName name="xxxDownfootRows5Number14">108</definedName>
    <definedName name="xxxDownfootRows5Number15">109</definedName>
    <definedName name="xxxDownfootRows5Number2">76</definedName>
    <definedName name="xxxDownfootRows5Number3">77</definedName>
    <definedName name="xxxDownfootRows5Number4">82</definedName>
    <definedName name="xxxDownfootRows5Number5">85</definedName>
    <definedName name="xxxDownfootRows5Number6">88</definedName>
    <definedName name="xxxDownfootRows5Number7">89</definedName>
    <definedName name="xxxDownfootRows5Number8">96</definedName>
    <definedName name="xxxDownfootRows5Number9">97</definedName>
    <definedName name="xxxEntireArea1bx">0</definedName>
    <definedName name="xxxEntireArea1by">2</definedName>
    <definedName name="xxxEntireArea1ex">1</definedName>
    <definedName name="xxxEntireArea1ey">46</definedName>
    <definedName name="xxxEntireArea2bx">0</definedName>
    <definedName name="xxxEntireArea2by">114</definedName>
    <definedName name="xxxEntireArea2ex">1</definedName>
    <definedName name="xxxEntireArea2ey">163</definedName>
    <definedName name="xxxEntireArea3bx">0</definedName>
    <definedName name="xxxEntireArea3by">168</definedName>
    <definedName name="xxxEntireArea3ex">1</definedName>
    <definedName name="xxxEntireArea3ey">186</definedName>
    <definedName name="xxxEntireArea4bx">0</definedName>
    <definedName name="xxxEntireArea4by">191</definedName>
    <definedName name="xxxEntireArea4ex">1</definedName>
    <definedName name="xxxEntireArea4ey">211</definedName>
    <definedName name="xxxEntireArea5bx">0</definedName>
    <definedName name="xxxEntireArea5by">50</definedName>
    <definedName name="xxxEntireArea5ex">1</definedName>
    <definedName name="xxxEntireArea5ey">109</definedName>
    <definedName name="xxxGNVFileName">"MONTHREP.GNV"</definedName>
    <definedName name="xxxGNVStamp">1004357820</definedName>
    <definedName name="xxxHeaderCols1Count">0</definedName>
    <definedName name="xxxHeaderCols2Count">0</definedName>
    <definedName name="xxxHeaderCols3Count">0</definedName>
    <definedName name="xxxHeaderCols4Count">0</definedName>
    <definedName name="xxxHeaderCols5Count">0</definedName>
    <definedName name="xxxHeaderRows1Count">0</definedName>
    <definedName name="xxxHeaderRows2Count">0</definedName>
    <definedName name="xxxHeaderRows3Count">0</definedName>
    <definedName name="xxxHeaderRows4Count">2</definedName>
    <definedName name="xxxHeaderRows4Number0">204</definedName>
    <definedName name="xxxHeaderRows4Number1">208</definedName>
    <definedName name="xxxHeaderRows4Over0">0</definedName>
    <definedName name="xxxHeaderRows4Over1">0</definedName>
    <definedName name="xxxHeaderRows4Submit0">1</definedName>
    <definedName name="xxxHeaderRows4Submit1">1</definedName>
    <definedName name="xxxHeaderRows5Count">2</definedName>
    <definedName name="xxxHeaderRows5Number0">63</definedName>
    <definedName name="xxxHeaderRows5Number1">90</definedName>
    <definedName name="xxxHeaderRows5Over0">0</definedName>
    <definedName name="xxxHeaderRows5Over1">0</definedName>
    <definedName name="xxxHeaderRows5Submit0">1</definedName>
    <definedName name="xxxHeaderRows5Submit1">1</definedName>
    <definedName name="xxxNumber_Areas">5</definedName>
    <definedName name="xxxODECols1Count">0</definedName>
    <definedName name="xxxODECols2Count">0</definedName>
    <definedName name="xxxODECols3Count">0</definedName>
    <definedName name="xxxODECols4Count">0</definedName>
    <definedName name="xxxODECols5Count">0</definedName>
    <definedName name="xxxODERows1Count">0</definedName>
    <definedName name="xxxODERows2Count">0</definedName>
    <definedName name="xxxODERows3Count">0</definedName>
    <definedName name="xxxODERows4Count">0</definedName>
    <definedName name="xxxODERows5Count">0</definedName>
    <definedName name="xxxRefreshable">1</definedName>
    <definedName name="xxxRLabel1.1.Prompt">0</definedName>
    <definedName name="xxxRLabel1.10.Prompt">0</definedName>
    <definedName name="xxxRLabel1.11.Prompt">0</definedName>
    <definedName name="xxxRLabel1.12.Prompt">0</definedName>
    <definedName name="xxxRLabel1.13.Prompt">0</definedName>
    <definedName name="xxxRLabel1.14.Prompt">0</definedName>
    <definedName name="xxxRLabel1.15.Prompt">0</definedName>
    <definedName name="xxxRLabel1.16.Prompt">0</definedName>
    <definedName name="xxxRLabel1.17.Prompt">0</definedName>
    <definedName name="xxxRLabel1.18.Prompt">0</definedName>
    <definedName name="xxxRLabel1.19.Prompt">0</definedName>
    <definedName name="xxxRLabel1.2.Prompt">0</definedName>
    <definedName name="xxxRLabel1.20.Prompt">0</definedName>
    <definedName name="xxxRLabel1.21.Prompt">0</definedName>
    <definedName name="xxxRLabel1.22.Prompt">0</definedName>
    <definedName name="xxxRLabel1.23.Prompt">0</definedName>
    <definedName name="xxxRLabel1.24.Prompt">0</definedName>
    <definedName name="xxxRLabel1.25.Prompt">0</definedName>
    <definedName name="xxxRLabel1.26.Prompt">0</definedName>
    <definedName name="xxxRLabel1.27.Prompt">0</definedName>
    <definedName name="xxxRLabel1.28.Prompt">0</definedName>
    <definedName name="xxxRLabel1.29.Prompt">0</definedName>
    <definedName name="xxxRLabel1.3.Prompt">0</definedName>
    <definedName name="xxxRLabel1.30.Prompt">0</definedName>
    <definedName name="xxxRLabel1.31.Prompt">0</definedName>
    <definedName name="xxxRLabel1.32.Prompt">0</definedName>
    <definedName name="xxxRLabel1.4.Prompt">0</definedName>
    <definedName name="xxxRLabel1.5.Prompt">0</definedName>
    <definedName name="xxxRLabel1.6.Prompt">0</definedName>
    <definedName name="xxxRLabel1.7.Prompt">0</definedName>
    <definedName name="xxxRLabel1.8.Prompt">0</definedName>
    <definedName name="xxxRLabel1.9.Prompt">0</definedName>
    <definedName name="xxxRLabel2.1.Prompt">0</definedName>
    <definedName name="xxxRLabel2.10.Prompt">0</definedName>
    <definedName name="xxxRLabel2.11.Prompt">0</definedName>
    <definedName name="xxxRLabel2.12.Prompt">0</definedName>
    <definedName name="xxxRLabel2.13.Prompt">0</definedName>
    <definedName name="xxxRLabel2.14.Prompt">0</definedName>
    <definedName name="xxxRLabel2.15.Prompt">0</definedName>
    <definedName name="xxxRLabel2.16.Prompt">0</definedName>
    <definedName name="xxxRLabel2.17.Prompt">0</definedName>
    <definedName name="xxxRLabel2.18.Prompt">0</definedName>
    <definedName name="xxxRLabel2.19.Prompt">0</definedName>
    <definedName name="xxxRLabel2.2.Prompt">0</definedName>
    <definedName name="xxxRLabel2.20.Prompt">0</definedName>
    <definedName name="xxxRLabel2.21.Prompt">0</definedName>
    <definedName name="xxxRLabel2.22.Prompt">0</definedName>
    <definedName name="xxxRLabel2.23.Prompt">0</definedName>
    <definedName name="xxxRLabel2.24.Prompt">0</definedName>
    <definedName name="xxxRLabel2.25.Prompt">0</definedName>
    <definedName name="xxxRLabel2.26.Prompt">0</definedName>
    <definedName name="xxxRLabel2.27.Prompt">0</definedName>
    <definedName name="xxxRLabel2.28.Prompt">0</definedName>
    <definedName name="xxxRLabel2.29.Prompt">0</definedName>
    <definedName name="xxxRLabel2.3.Prompt">0</definedName>
    <definedName name="xxxRLabel2.30.Prompt">0</definedName>
    <definedName name="xxxRLabel2.31.Prompt">0</definedName>
    <definedName name="xxxRLabel2.32.Prompt">0</definedName>
    <definedName name="xxxRLabel2.33.Prompt">0</definedName>
    <definedName name="xxxRLabel2.34.Prompt">0</definedName>
    <definedName name="xxxRLabel2.35.Prompt">0</definedName>
    <definedName name="xxxRLabel2.36.Prompt">0</definedName>
    <definedName name="xxxRLabel2.37.Prompt">0</definedName>
    <definedName name="xxxRLabel2.4.Prompt">0</definedName>
    <definedName name="xxxRLabel2.5.Prompt">0</definedName>
    <definedName name="xxxRLabel2.6.Prompt">0</definedName>
    <definedName name="xxxRLabel2.7.Prompt">0</definedName>
    <definedName name="xxxRLabel2.8.Prompt">0</definedName>
    <definedName name="xxxRLabel2.9.Prompt">0</definedName>
    <definedName name="xxxRLabel3.1.Prompt">0</definedName>
    <definedName name="xxxRLabel3.2.Prompt">0</definedName>
    <definedName name="xxxRLabel3.3.Prompt">0</definedName>
    <definedName name="xxxRLabel3.4.Prompt">0</definedName>
    <definedName name="xxxRLabel3.5.Prompt">0</definedName>
    <definedName name="xxxRLabel3.6.Prompt">0</definedName>
    <definedName name="xxxRLabel4.1.Prompt">0</definedName>
    <definedName name="xxxRLabel4.2.Prompt">0</definedName>
    <definedName name="xxxRLabel4.3.Prompt">0</definedName>
    <definedName name="xxxRLabel4.4.Prompt">0</definedName>
    <definedName name="xxxRLabel4.5.Prompt">0</definedName>
    <definedName name="xxxRLabel4.6.Prompt">0</definedName>
    <definedName name="xxxRLabel4.7.Prompt">0</definedName>
    <definedName name="xxxRLabel4.8.Prompt">0</definedName>
    <definedName name="xxxRLabel5.1.Prompt">0</definedName>
    <definedName name="xxxRLabel5.10.Prompt">0</definedName>
    <definedName name="xxxRLabel5.11.Prompt">0</definedName>
    <definedName name="xxxRLabel5.12.Prompt">0</definedName>
    <definedName name="xxxRLabel5.13.Prompt">0</definedName>
    <definedName name="xxxRLabel5.14.Prompt">0</definedName>
    <definedName name="xxxRLabel5.15.Prompt">0</definedName>
    <definedName name="xxxRLabel5.16.Prompt">0</definedName>
    <definedName name="xxxRLabel5.17.Prompt">0</definedName>
    <definedName name="xxxRLabel5.18.Prompt">0</definedName>
    <definedName name="xxxRLabel5.19.Prompt">0</definedName>
    <definedName name="xxxRLabel5.2.Prompt">0</definedName>
    <definedName name="xxxRLabel5.20.Prompt">0</definedName>
    <definedName name="xxxRLabel5.21.Prompt">0</definedName>
    <definedName name="xxxRLabel5.22.Prompt">0</definedName>
    <definedName name="xxxRLabel5.23.Prompt">0</definedName>
    <definedName name="xxxRLabel5.24.Prompt">0</definedName>
    <definedName name="xxxRLabel5.25.Prompt">0</definedName>
    <definedName name="xxxRLabel5.26.Prompt">0</definedName>
    <definedName name="xxxRLabel5.27.Prompt">0</definedName>
    <definedName name="xxxRLabel5.28.Prompt">0</definedName>
    <definedName name="xxxRLabel5.29.Prompt">0</definedName>
    <definedName name="xxxRLabel5.3.Prompt">0</definedName>
    <definedName name="xxxRLabel5.30.Prompt">0</definedName>
    <definedName name="xxxRLabel5.31.Prompt">0</definedName>
    <definedName name="xxxRLabel5.32.Prompt">0</definedName>
    <definedName name="xxxRLabel5.33.Prompt">0</definedName>
    <definedName name="xxxRLabel5.34.Prompt">0</definedName>
    <definedName name="xxxRLabel5.35.Prompt">0</definedName>
    <definedName name="xxxRLabel5.36.Prompt">0</definedName>
    <definedName name="xxxRLabel5.37.Prompt">0</definedName>
    <definedName name="xxxRLabel5.38.Prompt">0</definedName>
    <definedName name="xxxRLabel5.39.Prompt">0</definedName>
    <definedName name="xxxRLabel5.4.Prompt">0</definedName>
    <definedName name="xxxRLabel5.40.Prompt">0</definedName>
    <definedName name="xxxRLabel5.41.Prompt">0</definedName>
    <definedName name="xxxRLabel5.42.Prompt">0</definedName>
    <definedName name="xxxRLabel5.43.Prompt">0</definedName>
    <definedName name="xxxRLabel5.44.Prompt">0</definedName>
    <definedName name="xxxRLabel5.45.Prompt">0</definedName>
    <definedName name="xxxRLabel5.46.Prompt">0</definedName>
    <definedName name="xxxRLabel5.47.Prompt">0</definedName>
    <definedName name="xxxRLabel5.5.Prompt">0</definedName>
    <definedName name="xxxRLabel5.6.Prompt">0</definedName>
    <definedName name="xxxRLabel5.7.Prompt">0</definedName>
    <definedName name="xxxRLabel5.8.Prompt">0</definedName>
    <definedName name="xxxRLabel5.9.Prompt">0</definedName>
    <definedName name="xxxRowHeader1bx">0</definedName>
    <definedName name="xxxRowHeader1by">13</definedName>
    <definedName name="xxxRowHeader1ex">0</definedName>
    <definedName name="xxxRowHeader1ey">13</definedName>
    <definedName name="xxxRowHeader2bx">0</definedName>
    <definedName name="xxxRowHeader2by">125</definedName>
    <definedName name="xxxRowHeader2ex">0</definedName>
    <definedName name="xxxRowHeader2ey">125</definedName>
    <definedName name="xxxRowHeader3bx">0</definedName>
    <definedName name="xxxRowHeader3by">179</definedName>
    <definedName name="xxxRowHeader3ex">0</definedName>
    <definedName name="xxxRowHeader3ey">179</definedName>
    <definedName name="xxxRowHeader4bx">0</definedName>
    <definedName name="xxxRowHeader4by">202</definedName>
    <definedName name="xxxRowHeader4ex">0</definedName>
    <definedName name="xxxRowHeader4ey">202</definedName>
    <definedName name="xxxRowHeader5bx">0</definedName>
    <definedName name="xxxRowHeader5by">61</definedName>
    <definedName name="xxxRowHeader5ex">0</definedName>
    <definedName name="xxxRowHeader5ey">61</definedName>
    <definedName name="xxxRowLabels1bx">0</definedName>
    <definedName name="xxxRowLabels1by">15</definedName>
    <definedName name="xxxRowLabels1ex">0</definedName>
    <definedName name="xxxRowLabels1ey">46</definedName>
    <definedName name="xxxRowLabels2bx">0</definedName>
    <definedName name="xxxRowLabels2by">127</definedName>
    <definedName name="xxxRowLabels2ex">0</definedName>
    <definedName name="xxxRowLabels2ey">163</definedName>
    <definedName name="xxxRowLabels3bx">0</definedName>
    <definedName name="xxxRowLabels3by">181</definedName>
    <definedName name="xxxRowLabels3ex">0</definedName>
    <definedName name="xxxRowLabels3ey">186</definedName>
    <definedName name="xxxRowLabels4bx">0</definedName>
    <definedName name="xxxRowLabels4by">204</definedName>
    <definedName name="xxxRowLabels4ex">0</definedName>
    <definedName name="xxxRowLabels4ey">211</definedName>
    <definedName name="xxxRowLabels5bx">0</definedName>
    <definedName name="xxxRowLabels5by">63</definedName>
    <definedName name="xxxRowLabels5ex">0</definedName>
    <definedName name="xxxRowLabels5ey">109</definedName>
    <definedName name="xxxSubmittable">1</definedName>
    <definedName name="xxxUDCols1Count">0</definedName>
    <definedName name="xxxUDCols2Count">0</definedName>
    <definedName name="xxxUDCols3Count">0</definedName>
    <definedName name="xxxUDCols4Count">0</definedName>
    <definedName name="xxxUDCols5Count">0</definedName>
    <definedName name="xxxUDRows1Count">0</definedName>
    <definedName name="xxxUDRows2Count">0</definedName>
    <definedName name="xxxUDRows3Count">0</definedName>
    <definedName name="xxxUDRows4Count">0</definedName>
    <definedName name="xxxUDRows5Count">0</definedName>
    <definedName name="xxxWorksheet_Name">"Sheet1"</definedName>
    <definedName name="xxxx" localSheetId="29" hidden="1">#REF!</definedName>
    <definedName name="xxxx" localSheetId="35" hidden="1">#REF!</definedName>
    <definedName name="xxxx" localSheetId="38" hidden="1">#REF!</definedName>
    <definedName name="xxxx" localSheetId="43" hidden="1">#REF!</definedName>
    <definedName name="xxxx" localSheetId="44" hidden="1">#REF!</definedName>
    <definedName name="xxxx" localSheetId="25" hidden="1">#REF!</definedName>
    <definedName name="xxxx" localSheetId="27" hidden="1">#REF!</definedName>
    <definedName name="xxxx" hidden="1">#REF!</definedName>
    <definedName name="Y122_" localSheetId="25">#REF!</definedName>
    <definedName name="Y122_" localSheetId="27">#REF!</definedName>
    <definedName name="Y122_">#REF!</definedName>
    <definedName name="Ye" localSheetId="25">#REF!,#REF!</definedName>
    <definedName name="Ye">#REF!,#REF!</definedName>
    <definedName name="YEAR" localSheetId="15">#REF!</definedName>
    <definedName name="YEAR" localSheetId="29">#REF!</definedName>
    <definedName name="YEAR" localSheetId="35">#REF!</definedName>
    <definedName name="YEAR" localSheetId="38">#REF!</definedName>
    <definedName name="YEAR" localSheetId="43">#REF!</definedName>
    <definedName name="YEAR" localSheetId="44">#REF!</definedName>
    <definedName name="YEAR" localSheetId="21">#REF!</definedName>
    <definedName name="YEAR" localSheetId="22">#REF!</definedName>
    <definedName name="YEAR" localSheetId="20">#REF!</definedName>
    <definedName name="YEAR" localSheetId="23">#REF!</definedName>
    <definedName name="YEAR" localSheetId="25">#REF!</definedName>
    <definedName name="YEAR" localSheetId="27">#REF!</definedName>
    <definedName name="YEAR" localSheetId="56">#REF!</definedName>
    <definedName name="YEAR" localSheetId="57">#REF!</definedName>
    <definedName name="YEAR">#REF!</definedName>
    <definedName name="Year1" localSheetId="29">#REF!</definedName>
    <definedName name="Year1" localSheetId="35">#REF!</definedName>
    <definedName name="Year1" localSheetId="38">#REF!</definedName>
    <definedName name="Year1" localSheetId="25">#REF!</definedName>
    <definedName name="Year1" localSheetId="27">#REF!</definedName>
    <definedName name="Year1">#REF!</definedName>
    <definedName name="YEARLY" localSheetId="27">#REF!</definedName>
    <definedName name="YEARLY">#REF!</definedName>
    <definedName name="Yes">#REF!</definedName>
    <definedName name="yew">#REF!</definedName>
    <definedName name="yrend_date" localSheetId="25">#REF!</definedName>
    <definedName name="yrend_date" localSheetId="27">#REF!</definedName>
    <definedName name="yrend_date">#REF!</definedName>
    <definedName name="yrend_date1" localSheetId="25">#REF!</definedName>
    <definedName name="yrend_date1" localSheetId="27">#REF!</definedName>
    <definedName name="yrend_date1">#REF!</definedName>
    <definedName name="YTPI" localSheetId="25">#REF!</definedName>
    <definedName name="YTPI" localSheetId="27">#REF!</definedName>
    <definedName name="YTPI">#REF!</definedName>
    <definedName name="yyy" localSheetId="25">#REF!</definedName>
    <definedName name="yyy" localSheetId="27">#REF!</definedName>
    <definedName name="yyy">#REF!</definedName>
    <definedName name="yyyy" localSheetId="25">#REF!</definedName>
    <definedName name="yyyy" localSheetId="27">#REF!</definedName>
    <definedName name="yyyy">#REF!</definedName>
    <definedName name="Z" localSheetId="1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2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3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23"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25"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2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1"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56"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5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_6FC0BDD8_8325_49FE_B30A_C17FE70E7A70_.wvu.PrintArea" localSheetId="44" hidden="1">F25_IOL!$A$1:$I$61</definedName>
    <definedName name="zx" localSheetId="25" hidden="1">{#N/A,#N/A,FALSE,"COVER.XLS";#N/A,#N/A,FALSE,"RACT1.XLS";#N/A,#N/A,FALSE,"RACT2.XLS";#N/A,#N/A,FALSE,"ECCMP";#N/A,#N/A,FALSE,"WELDER.XLS"}</definedName>
    <definedName name="zx" localSheetId="1" hidden="1">{#N/A,#N/A,FALSE,"COVER.XLS";#N/A,#N/A,FALSE,"RACT1.XLS";#N/A,#N/A,FALSE,"RACT2.XLS";#N/A,#N/A,FALSE,"ECCMP";#N/A,#N/A,FALSE,"WELDER.XLS"}</definedName>
    <definedName name="zx" hidden="1">{#N/A,#N/A,FALSE,"COVER.XLS";#N/A,#N/A,FALSE,"RACT1.XLS";#N/A,#N/A,FALSE,"RACT2.XLS";#N/A,#N/A,FALSE,"ECCMP";#N/A,#N/A,FALSE,"WELDER.XLS"}</definedName>
    <definedName name="zzzz" localSheetId="25">#REF!</definedName>
    <definedName name="zzzz" localSheetId="27">#REF!</definedName>
    <definedName name="zzzz">#REF!</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3" i="203" l="1"/>
  <c r="G18" i="203" l="1"/>
  <c r="C16" i="203"/>
  <c r="B18" i="203"/>
  <c r="B17" i="203"/>
  <c r="B16" i="203"/>
  <c r="B15" i="203"/>
  <c r="B14" i="203"/>
  <c r="B13" i="203"/>
  <c r="B12" i="203"/>
  <c r="B11" i="203"/>
  <c r="B10" i="203"/>
  <c r="B9" i="203"/>
  <c r="B8" i="203"/>
  <c r="B7" i="203"/>
  <c r="B6" i="203"/>
  <c r="I61" i="126"/>
  <c r="H61" i="126"/>
  <c r="G61" i="126"/>
  <c r="F61" i="126"/>
  <c r="E61" i="126"/>
  <c r="F21" i="126"/>
  <c r="I21" i="126" s="1"/>
  <c r="F23" i="126"/>
  <c r="F22" i="126"/>
  <c r="F20" i="126"/>
  <c r="F19" i="126"/>
  <c r="F18" i="126"/>
  <c r="F17" i="126"/>
  <c r="F16" i="126"/>
  <c r="I16" i="126" s="1"/>
  <c r="F15" i="126"/>
  <c r="I15" i="126" s="1"/>
  <c r="F14" i="126"/>
  <c r="F13" i="126"/>
  <c r="I13" i="126" s="1"/>
  <c r="F12" i="126"/>
  <c r="I23" i="126"/>
  <c r="I22" i="126"/>
  <c r="I20" i="126"/>
  <c r="I19" i="126"/>
  <c r="I18" i="126"/>
  <c r="I17" i="126"/>
  <c r="I14" i="126"/>
  <c r="I12" i="126"/>
  <c r="I11" i="126"/>
  <c r="F11" i="126"/>
  <c r="E23" i="126"/>
  <c r="E22" i="126"/>
  <c r="H21" i="126"/>
  <c r="E21" i="126"/>
  <c r="E20" i="126"/>
  <c r="E19" i="126"/>
  <c r="E18" i="126"/>
  <c r="E17" i="126"/>
  <c r="E16" i="126"/>
  <c r="E15" i="126"/>
  <c r="E14" i="126"/>
  <c r="E13" i="126"/>
  <c r="G26" i="126"/>
  <c r="E12" i="126"/>
  <c r="E26" i="126" s="1"/>
  <c r="E11" i="126"/>
  <c r="H26" i="126"/>
  <c r="F53" i="126"/>
  <c r="I53" i="126" s="1"/>
  <c r="F9" i="138"/>
  <c r="F26" i="126" l="1"/>
  <c r="I26" i="126"/>
  <c r="H32" i="137"/>
  <c r="K32" i="137" s="1"/>
  <c r="N32" i="137" s="1"/>
  <c r="H30" i="137"/>
  <c r="K30" i="137" s="1"/>
  <c r="N30" i="137" s="1"/>
  <c r="H26" i="137"/>
  <c r="K26" i="137" s="1"/>
  <c r="N26" i="137" s="1"/>
  <c r="H25" i="137"/>
  <c r="K25" i="137" s="1"/>
  <c r="N25" i="137" s="1"/>
  <c r="N23" i="137"/>
  <c r="N22" i="137"/>
  <c r="N21" i="137"/>
  <c r="N20" i="137"/>
  <c r="K23" i="137"/>
  <c r="K22" i="137"/>
  <c r="K21" i="137"/>
  <c r="K20" i="137"/>
  <c r="H23" i="137"/>
  <c r="H22" i="137"/>
  <c r="H21" i="137"/>
  <c r="H20" i="137"/>
  <c r="F23" i="137"/>
  <c r="H19" i="137"/>
  <c r="K19" i="137" s="1"/>
  <c r="N19" i="137" s="1"/>
  <c r="H18" i="137"/>
  <c r="K18" i="137" s="1"/>
  <c r="N18" i="137" s="1"/>
  <c r="H17" i="137"/>
  <c r="K17" i="137" s="1"/>
  <c r="N17" i="137" s="1"/>
  <c r="N13" i="137"/>
  <c r="N12" i="137"/>
  <c r="N11" i="137"/>
  <c r="K13" i="137"/>
  <c r="K12" i="137"/>
  <c r="K11" i="137"/>
  <c r="H13" i="137"/>
  <c r="H12" i="137"/>
  <c r="H11" i="137"/>
  <c r="G103" i="209" l="1"/>
  <c r="F103" i="209"/>
  <c r="D103" i="209"/>
  <c r="C103" i="209"/>
  <c r="B87" i="209"/>
  <c r="E87" i="209" s="1"/>
  <c r="F87" i="209" s="1"/>
  <c r="G87" i="209" s="1"/>
  <c r="A87" i="209"/>
  <c r="A103" i="209" s="1"/>
  <c r="A86" i="209"/>
  <c r="A102" i="209" s="1"/>
  <c r="A85" i="209"/>
  <c r="A101" i="209" s="1"/>
  <c r="D56" i="209"/>
  <c r="K27" i="173"/>
  <c r="E27" i="173" s="1"/>
  <c r="K25" i="173"/>
  <c r="E25" i="173" s="1"/>
  <c r="K19" i="173"/>
  <c r="K18" i="173"/>
  <c r="E18" i="173" s="1"/>
  <c r="K12" i="173"/>
  <c r="E12" i="173"/>
  <c r="D30" i="173"/>
  <c r="D27" i="173"/>
  <c r="D26" i="173"/>
  <c r="D25" i="173"/>
  <c r="D21" i="173"/>
  <c r="D20" i="173"/>
  <c r="E19" i="173"/>
  <c r="D19" i="173"/>
  <c r="F19" i="173" s="1"/>
  <c r="D18" i="173"/>
  <c r="D17" i="173"/>
  <c r="D16" i="173"/>
  <c r="D15" i="173"/>
  <c r="D13" i="173"/>
  <c r="D12" i="173"/>
  <c r="D11" i="173"/>
  <c r="F10" i="173"/>
  <c r="E10" i="173"/>
  <c r="G10" i="173" s="1"/>
  <c r="D9" i="173"/>
  <c r="D8" i="173"/>
  <c r="D63" i="173"/>
  <c r="K60" i="173"/>
  <c r="F60" i="173" s="1"/>
  <c r="K58" i="173"/>
  <c r="E45" i="173"/>
  <c r="F43" i="173"/>
  <c r="E43" i="173"/>
  <c r="G43" i="173" s="1"/>
  <c r="K52" i="173"/>
  <c r="F52" i="173" s="1"/>
  <c r="K51" i="173"/>
  <c r="F51" i="173" s="1"/>
  <c r="K45" i="173"/>
  <c r="D60" i="173"/>
  <c r="D59" i="173"/>
  <c r="D58" i="173"/>
  <c r="D54" i="173"/>
  <c r="D53" i="173"/>
  <c r="D52" i="173"/>
  <c r="D51" i="173"/>
  <c r="D50" i="173"/>
  <c r="D49" i="173"/>
  <c r="D48" i="173"/>
  <c r="D46" i="173"/>
  <c r="D45" i="173"/>
  <c r="F45" i="173" s="1"/>
  <c r="D42" i="173"/>
  <c r="D41" i="173"/>
  <c r="D44" i="173"/>
  <c r="E30" i="75"/>
  <c r="E31" i="75"/>
  <c r="E26" i="75"/>
  <c r="E25" i="75"/>
  <c r="E23" i="75"/>
  <c r="D62" i="74"/>
  <c r="D22" i="74"/>
  <c r="D51" i="74"/>
  <c r="D35" i="74"/>
  <c r="E9" i="68"/>
  <c r="D26" i="74"/>
  <c r="C87" i="209" l="1"/>
  <c r="F25" i="173"/>
  <c r="F18" i="173"/>
  <c r="G18" i="173" s="1"/>
  <c r="F12" i="173"/>
  <c r="G25" i="173"/>
  <c r="G19" i="173"/>
  <c r="F27" i="173"/>
  <c r="G27" i="173" s="1"/>
  <c r="E51" i="173"/>
  <c r="G51" i="173" s="1"/>
  <c r="E58" i="173"/>
  <c r="F58" i="173"/>
  <c r="E52" i="173"/>
  <c r="G52" i="173" s="1"/>
  <c r="G45" i="173"/>
  <c r="E60" i="173"/>
  <c r="G60" i="173" s="1"/>
  <c r="I34" i="2"/>
  <c r="I33" i="2"/>
  <c r="I31" i="2"/>
  <c r="I22" i="2"/>
  <c r="H34" i="2"/>
  <c r="H33" i="2"/>
  <c r="H31" i="2"/>
  <c r="H22" i="2"/>
  <c r="G42" i="2"/>
  <c r="F42" i="2"/>
  <c r="G40" i="2"/>
  <c r="F40" i="2"/>
  <c r="G34" i="2"/>
  <c r="F34" i="2"/>
  <c r="G33" i="2"/>
  <c r="F33" i="2"/>
  <c r="G30" i="2"/>
  <c r="F30" i="2"/>
  <c r="G22" i="2"/>
  <c r="F22" i="2"/>
  <c r="G21" i="2"/>
  <c r="F21" i="2"/>
  <c r="L75" i="176"/>
  <c r="L71" i="176"/>
  <c r="L70" i="176"/>
  <c r="L69" i="176"/>
  <c r="L68" i="176"/>
  <c r="L67" i="176"/>
  <c r="K75" i="176"/>
  <c r="L74" i="176"/>
  <c r="K73" i="176"/>
  <c r="K70" i="176"/>
  <c r="K69" i="176"/>
  <c r="K68" i="176"/>
  <c r="K67" i="176"/>
  <c r="E79" i="176"/>
  <c r="D79" i="176"/>
  <c r="E66" i="176"/>
  <c r="H27" i="176"/>
  <c r="H21" i="176"/>
  <c r="E27" i="176"/>
  <c r="I27" i="176" s="1"/>
  <c r="E21" i="176"/>
  <c r="I21" i="176" s="1"/>
  <c r="H34" i="175"/>
  <c r="H33" i="175"/>
  <c r="H30" i="175"/>
  <c r="H21" i="175"/>
  <c r="J92" i="175"/>
  <c r="J91" i="175"/>
  <c r="G71" i="175"/>
  <c r="C73" i="175"/>
  <c r="C71" i="175"/>
  <c r="H61" i="175"/>
  <c r="E63" i="175"/>
  <c r="E62" i="175"/>
  <c r="L13" i="175"/>
  <c r="E22" i="175"/>
  <c r="E30" i="174"/>
  <c r="F30" i="174" s="1"/>
  <c r="E22" i="174"/>
  <c r="E21" i="174"/>
  <c r="E31" i="175"/>
  <c r="F22" i="174"/>
  <c r="F21" i="174"/>
  <c r="N87" i="174"/>
  <c r="N86" i="174"/>
  <c r="N85" i="174"/>
  <c r="N84" i="174"/>
  <c r="M88" i="174"/>
  <c r="N88" i="174" s="1"/>
  <c r="K71" i="176" s="1"/>
  <c r="K74" i="176" s="1"/>
  <c r="K76" i="176" s="1"/>
  <c r="L73" i="176" s="1"/>
  <c r="M83" i="174"/>
  <c r="N83" i="174" s="1"/>
  <c r="G71" i="174"/>
  <c r="J29" i="32"/>
  <c r="J31" i="32" s="1"/>
  <c r="E124" i="44"/>
  <c r="E125" i="44" s="1"/>
  <c r="E126" i="44" s="1"/>
  <c r="E128" i="44" s="1"/>
  <c r="E8" i="68"/>
  <c r="M91" i="174" l="1"/>
  <c r="M93" i="174" s="1"/>
  <c r="N89" i="174"/>
  <c r="J83" i="175" s="1"/>
  <c r="J89" i="175" s="1"/>
  <c r="K66" i="176"/>
  <c r="K72" i="176" s="1"/>
  <c r="L66" i="176" s="1"/>
  <c r="N91" i="174"/>
  <c r="N93" i="174" s="1"/>
  <c r="J90" i="175" s="1"/>
  <c r="J93" i="175" s="1"/>
  <c r="M89" i="174"/>
  <c r="G12" i="173"/>
  <c r="G58" i="173"/>
  <c r="L76" i="176"/>
  <c r="M73" i="176" s="1"/>
  <c r="L72" i="176"/>
  <c r="M66" i="176" s="1"/>
  <c r="H123" i="44"/>
  <c r="G73" i="174"/>
  <c r="F9" i="68"/>
  <c r="E13" i="68"/>
  <c r="E7" i="138" s="1"/>
  <c r="C13" i="68"/>
  <c r="D9" i="68"/>
  <c r="D8" i="68"/>
  <c r="F8" i="68" s="1"/>
  <c r="B10" i="68"/>
  <c r="B9" i="68"/>
  <c r="B8" i="68"/>
  <c r="H10" i="45"/>
  <c r="G10" i="45"/>
  <c r="E11" i="44"/>
  <c r="I16" i="67"/>
  <c r="H16" i="67"/>
  <c r="G15" i="67"/>
  <c r="I8" i="67"/>
  <c r="H8" i="67"/>
  <c r="H14" i="67" s="1"/>
  <c r="G8" i="67"/>
  <c r="G14" i="67" s="1"/>
  <c r="F8" i="67"/>
  <c r="D8" i="67"/>
  <c r="I14" i="67"/>
  <c r="F14" i="67"/>
  <c r="E14" i="67"/>
  <c r="D14" i="67"/>
  <c r="C14" i="67"/>
  <c r="B10" i="67"/>
  <c r="B9" i="67"/>
  <c r="B8" i="67"/>
  <c r="C13" i="210"/>
  <c r="G14" i="210"/>
  <c r="L24" i="210"/>
  <c r="D13" i="68" l="1"/>
  <c r="D7" i="138" s="1"/>
  <c r="F7" i="138" s="1"/>
  <c r="F13" i="68"/>
  <c r="C10" i="210"/>
  <c r="N10" i="210"/>
  <c r="M10" i="210"/>
  <c r="L10" i="210"/>
  <c r="K10" i="210"/>
  <c r="J10" i="210"/>
  <c r="I10" i="210"/>
  <c r="H10" i="210"/>
  <c r="G10" i="210"/>
  <c r="F10" i="210"/>
  <c r="E10" i="210"/>
  <c r="D10" i="210"/>
  <c r="C8" i="210"/>
  <c r="G6" i="210"/>
  <c r="K23" i="210"/>
  <c r="K22" i="210"/>
  <c r="K21" i="210"/>
  <c r="K20" i="210"/>
  <c r="K19" i="210"/>
  <c r="K18" i="210"/>
  <c r="K17" i="210"/>
  <c r="K16" i="210"/>
  <c r="H22" i="210"/>
  <c r="H20" i="210"/>
  <c r="H18" i="210"/>
  <c r="H19" i="210" s="1"/>
  <c r="H16" i="210"/>
  <c r="E23" i="210"/>
  <c r="E22" i="210"/>
  <c r="E21" i="210"/>
  <c r="E20" i="210"/>
  <c r="E19" i="210"/>
  <c r="E18" i="210"/>
  <c r="E17" i="210"/>
  <c r="H17" i="210" s="1"/>
  <c r="E16" i="210"/>
  <c r="I23" i="210"/>
  <c r="H23" i="210"/>
  <c r="I22" i="210"/>
  <c r="I21" i="210"/>
  <c r="H21" i="210"/>
  <c r="I20" i="210"/>
  <c r="I19" i="210"/>
  <c r="I18" i="210"/>
  <c r="I17" i="210"/>
  <c r="I16" i="210"/>
  <c r="C6" i="210"/>
  <c r="E24" i="210" l="1"/>
  <c r="H24" i="210"/>
  <c r="K24" i="210"/>
  <c r="C81" i="171" l="1"/>
  <c r="C82" i="171"/>
  <c r="C83" i="171"/>
  <c r="C84" i="171"/>
  <c r="C85" i="171"/>
  <c r="C86" i="171"/>
  <c r="C87" i="171"/>
  <c r="C88" i="171"/>
  <c r="C89" i="171"/>
  <c r="C90" i="171"/>
  <c r="C91" i="171"/>
  <c r="C92" i="171"/>
  <c r="C80" i="171"/>
  <c r="A92" i="171"/>
  <c r="A91" i="171"/>
  <c r="A90" i="171"/>
  <c r="A89" i="171"/>
  <c r="A88" i="171"/>
  <c r="A87" i="171"/>
  <c r="A86" i="171"/>
  <c r="A85" i="171"/>
  <c r="A84" i="171"/>
  <c r="A83" i="171"/>
  <c r="A82" i="171"/>
  <c r="A81" i="171"/>
  <c r="A80" i="171"/>
  <c r="A69" i="171"/>
  <c r="A68" i="171"/>
  <c r="A67" i="171"/>
  <c r="A66" i="171"/>
  <c r="A65" i="171"/>
  <c r="A64" i="171"/>
  <c r="A63" i="171"/>
  <c r="A62" i="171"/>
  <c r="A61" i="171"/>
  <c r="A60" i="171"/>
  <c r="A59" i="171"/>
  <c r="A58" i="171"/>
  <c r="A57" i="171"/>
  <c r="D93" i="171"/>
  <c r="J73" i="171"/>
  <c r="J96" i="171" s="1"/>
  <c r="J69" i="171"/>
  <c r="J92" i="171" s="1"/>
  <c r="J68" i="171"/>
  <c r="J91" i="171" s="1"/>
  <c r="J67" i="171"/>
  <c r="J90" i="171" s="1"/>
  <c r="J66" i="171"/>
  <c r="J89" i="171" s="1"/>
  <c r="J65" i="171"/>
  <c r="J88" i="171" s="1"/>
  <c r="J64" i="171"/>
  <c r="J87" i="171" s="1"/>
  <c r="J63" i="171"/>
  <c r="J86" i="171" s="1"/>
  <c r="J62" i="171"/>
  <c r="J61" i="171"/>
  <c r="J84" i="171" s="1"/>
  <c r="J60" i="171"/>
  <c r="J83" i="171" s="1"/>
  <c r="J59" i="171"/>
  <c r="J82" i="171" s="1"/>
  <c r="J58" i="171"/>
  <c r="J81" i="171" s="1"/>
  <c r="J57" i="171"/>
  <c r="D70" i="171"/>
  <c r="C70" i="171"/>
  <c r="D47" i="171"/>
  <c r="I50" i="171"/>
  <c r="I73" i="171" s="1"/>
  <c r="I96" i="171" s="1"/>
  <c r="I46" i="171"/>
  <c r="I69" i="171" s="1"/>
  <c r="I92" i="171" s="1"/>
  <c r="I45" i="171"/>
  <c r="I68" i="171" s="1"/>
  <c r="I91" i="171" s="1"/>
  <c r="I44" i="171"/>
  <c r="I67" i="171" s="1"/>
  <c r="I90" i="171" s="1"/>
  <c r="I43" i="171"/>
  <c r="I66" i="171" s="1"/>
  <c r="I89" i="171" s="1"/>
  <c r="I42" i="171"/>
  <c r="I65" i="171" s="1"/>
  <c r="I88" i="171" s="1"/>
  <c r="I41" i="171"/>
  <c r="I64" i="171" s="1"/>
  <c r="I87" i="171" s="1"/>
  <c r="I40" i="171"/>
  <c r="I63" i="171" s="1"/>
  <c r="I86" i="171" s="1"/>
  <c r="I39" i="171"/>
  <c r="I62" i="171" s="1"/>
  <c r="I85" i="171" s="1"/>
  <c r="I38" i="171"/>
  <c r="I61" i="171" s="1"/>
  <c r="I84" i="171" s="1"/>
  <c r="I37" i="171"/>
  <c r="I60" i="171" s="1"/>
  <c r="I83" i="171" s="1"/>
  <c r="I36" i="171"/>
  <c r="I59" i="171" s="1"/>
  <c r="I82" i="171" s="1"/>
  <c r="I35" i="171"/>
  <c r="I58" i="171" s="1"/>
  <c r="I81" i="171" s="1"/>
  <c r="I34" i="171"/>
  <c r="I57" i="171" s="1"/>
  <c r="I80" i="171" s="1"/>
  <c r="D51" i="171"/>
  <c r="E63" i="174" s="1"/>
  <c r="H63" i="175" s="1"/>
  <c r="I63" i="175" s="1"/>
  <c r="G50" i="171"/>
  <c r="G46" i="171"/>
  <c r="G45" i="171"/>
  <c r="G44" i="171"/>
  <c r="G43" i="171"/>
  <c r="G42" i="171"/>
  <c r="G41" i="171"/>
  <c r="G40" i="171"/>
  <c r="G39" i="171"/>
  <c r="G38" i="171"/>
  <c r="G37" i="171"/>
  <c r="G36" i="171"/>
  <c r="G35" i="171"/>
  <c r="G34" i="171"/>
  <c r="C50" i="171"/>
  <c r="E53" i="75" s="1"/>
  <c r="C35" i="171"/>
  <c r="C36" i="171"/>
  <c r="C37" i="171"/>
  <c r="C38" i="171"/>
  <c r="C39" i="171"/>
  <c r="C40" i="171"/>
  <c r="C41" i="171"/>
  <c r="C42" i="171"/>
  <c r="C43" i="171"/>
  <c r="C44" i="171"/>
  <c r="C45" i="171"/>
  <c r="C46" i="171"/>
  <c r="C34" i="171"/>
  <c r="D9" i="34"/>
  <c r="G9" i="34"/>
  <c r="F9" i="34"/>
  <c r="G8" i="34"/>
  <c r="F8" i="34"/>
  <c r="K43" i="62"/>
  <c r="L43" i="62" s="1"/>
  <c r="K42" i="62"/>
  <c r="L42" i="62" s="1"/>
  <c r="L41" i="62"/>
  <c r="K41" i="62"/>
  <c r="K40" i="62"/>
  <c r="L40" i="62" s="1"/>
  <c r="K38" i="62"/>
  <c r="L38" i="62" s="1"/>
  <c r="K37" i="62"/>
  <c r="L37" i="62" s="1"/>
  <c r="K36" i="62"/>
  <c r="L36" i="62" s="1"/>
  <c r="L35" i="62"/>
  <c r="K35" i="62"/>
  <c r="K34" i="62"/>
  <c r="L34" i="62" s="1"/>
  <c r="K33" i="62"/>
  <c r="L33" i="62" s="1"/>
  <c r="K32" i="62"/>
  <c r="L32" i="62" s="1"/>
  <c r="K31" i="62"/>
  <c r="L31" i="62" s="1"/>
  <c r="K30" i="62"/>
  <c r="L30" i="62" s="1"/>
  <c r="L29" i="62"/>
  <c r="K29" i="62"/>
  <c r="K26" i="62"/>
  <c r="L26" i="62" s="1"/>
  <c r="K25" i="62"/>
  <c r="L25" i="62" s="1"/>
  <c r="K24" i="62"/>
  <c r="L24" i="62" s="1"/>
  <c r="K20" i="62"/>
  <c r="L20" i="62" s="1"/>
  <c r="K19" i="62"/>
  <c r="L19" i="62" s="1"/>
  <c r="K18" i="62"/>
  <c r="L18" i="62" s="1"/>
  <c r="L17" i="62"/>
  <c r="K17" i="62"/>
  <c r="K14" i="62"/>
  <c r="L14" i="62" s="1"/>
  <c r="K13" i="62"/>
  <c r="L13" i="62" s="1"/>
  <c r="K12" i="62"/>
  <c r="L12" i="62" s="1"/>
  <c r="L11" i="62"/>
  <c r="K11" i="62"/>
  <c r="K10" i="62"/>
  <c r="L10" i="62" s="1"/>
  <c r="L8" i="62"/>
  <c r="K8" i="62"/>
  <c r="I43" i="62"/>
  <c r="I42" i="62"/>
  <c r="I41" i="62"/>
  <c r="I40" i="62"/>
  <c r="I38" i="62"/>
  <c r="I37" i="62"/>
  <c r="I36" i="62"/>
  <c r="I35" i="62"/>
  <c r="I34" i="62"/>
  <c r="I33" i="62"/>
  <c r="I32" i="62"/>
  <c r="I31" i="62"/>
  <c r="I30" i="62"/>
  <c r="I29" i="62"/>
  <c r="I26" i="62"/>
  <c r="I25" i="62"/>
  <c r="I24" i="62"/>
  <c r="I20" i="62"/>
  <c r="I19" i="62"/>
  <c r="I18" i="62"/>
  <c r="I17" i="62"/>
  <c r="I14" i="62"/>
  <c r="I13" i="62"/>
  <c r="I12" i="62"/>
  <c r="I11" i="62"/>
  <c r="I10" i="62"/>
  <c r="I8" i="62"/>
  <c r="J46" i="62"/>
  <c r="J44" i="62"/>
  <c r="G44" i="62"/>
  <c r="H43" i="62"/>
  <c r="H42" i="62"/>
  <c r="E9" i="115"/>
  <c r="F9" i="115" s="1"/>
  <c r="F11" i="115" s="1"/>
  <c r="D10" i="74" s="1"/>
  <c r="S9" i="111"/>
  <c r="P9" i="111"/>
  <c r="J9" i="111"/>
  <c r="M9" i="111"/>
  <c r="I9" i="111"/>
  <c r="L9" i="111" s="1"/>
  <c r="N9" i="111" s="1"/>
  <c r="H9" i="111"/>
  <c r="I22" i="208"/>
  <c r="K22" i="208" s="1"/>
  <c r="I21" i="208"/>
  <c r="K21" i="208" s="1"/>
  <c r="D21" i="208"/>
  <c r="D20" i="208"/>
  <c r="D22" i="208"/>
  <c r="D19" i="208"/>
  <c r="DZ96" i="218"/>
  <c r="DX97" i="218"/>
  <c r="DW97" i="218" s="1"/>
  <c r="DX96" i="218"/>
  <c r="DT97" i="218"/>
  <c r="DT96" i="218"/>
  <c r="DW96" i="218" s="1"/>
  <c r="DP96" i="218"/>
  <c r="DO96" i="218" s="1"/>
  <c r="DN96" i="218"/>
  <c r="DM96" i="218" s="1"/>
  <c r="DN97" i="218"/>
  <c r="DJ97" i="218"/>
  <c r="DJ96" i="218"/>
  <c r="DF96" i="218"/>
  <c r="DD97" i="218"/>
  <c r="DD96" i="218"/>
  <c r="CZ97" i="218"/>
  <c r="DC97" i="218" s="1"/>
  <c r="CZ96" i="218"/>
  <c r="CT97" i="218"/>
  <c r="CY97" i="218" s="1"/>
  <c r="CT96" i="218"/>
  <c r="CP97" i="218"/>
  <c r="CS97" i="218" s="1"/>
  <c r="CP96" i="218"/>
  <c r="CV96" i="218"/>
  <c r="CU96" i="218" s="1"/>
  <c r="CL96" i="218"/>
  <c r="CL112" i="218" s="1"/>
  <c r="CJ97" i="218"/>
  <c r="CJ96" i="218"/>
  <c r="CF97" i="218"/>
  <c r="CF96" i="218"/>
  <c r="CB96" i="218"/>
  <c r="CB112" i="218" s="1"/>
  <c r="BZ97" i="218"/>
  <c r="CE97" i="218" s="1"/>
  <c r="BZ96" i="218"/>
  <c r="BV97" i="218"/>
  <c r="BV96" i="218"/>
  <c r="BV112" i="218" s="1"/>
  <c r="C129" i="218" s="1"/>
  <c r="BR96" i="218"/>
  <c r="BU96" i="218" s="1"/>
  <c r="BT96" i="218" s="1"/>
  <c r="BQ96" i="218"/>
  <c r="BP97" i="218"/>
  <c r="BO97" i="218" s="1"/>
  <c r="BP96" i="218"/>
  <c r="BL97" i="218"/>
  <c r="BL96" i="218"/>
  <c r="BF96" i="218"/>
  <c r="BH96" i="218"/>
  <c r="BF97" i="218"/>
  <c r="BK97" i="218" s="1"/>
  <c r="BB97" i="218"/>
  <c r="BB96" i="218"/>
  <c r="I20" i="208" s="1"/>
  <c r="AX96" i="218"/>
  <c r="AW96" i="218" s="1"/>
  <c r="AV96" i="218"/>
  <c r="BA96" i="218" s="1"/>
  <c r="AZ96" i="218" s="1"/>
  <c r="AV97" i="218"/>
  <c r="BA97" i="218" s="1"/>
  <c r="AZ97" i="218" s="1"/>
  <c r="AR97" i="218"/>
  <c r="AU97" i="218" s="1"/>
  <c r="AR96" i="218"/>
  <c r="I19" i="208" s="1"/>
  <c r="AN96" i="218"/>
  <c r="CL108" i="218"/>
  <c r="CB108" i="218"/>
  <c r="BR108" i="218"/>
  <c r="BH108" i="218"/>
  <c r="AX108" i="218"/>
  <c r="AN108" i="218"/>
  <c r="AL97" i="218"/>
  <c r="AL96" i="218"/>
  <c r="AH97" i="218"/>
  <c r="AH96" i="218"/>
  <c r="AM96" i="218" s="1"/>
  <c r="AD108" i="218"/>
  <c r="AD96" i="218"/>
  <c r="AB97" i="218"/>
  <c r="AB96" i="218"/>
  <c r="AG96" i="218" s="1"/>
  <c r="X97" i="218"/>
  <c r="X96" i="218"/>
  <c r="T108" i="218"/>
  <c r="T96" i="218"/>
  <c r="R96" i="218"/>
  <c r="R97" i="218"/>
  <c r="N97" i="218"/>
  <c r="N96" i="218"/>
  <c r="J97" i="218"/>
  <c r="J96" i="218"/>
  <c r="J112" i="218" s="1"/>
  <c r="DZ108" i="218"/>
  <c r="EC108" i="218" s="1"/>
  <c r="DP108" i="218"/>
  <c r="DS108" i="218" s="1"/>
  <c r="DF108" i="218"/>
  <c r="DI108" i="218" s="1"/>
  <c r="CY108" i="218"/>
  <c r="CV108" i="218"/>
  <c r="CO108" i="218"/>
  <c r="B98" i="218"/>
  <c r="DI97" i="218"/>
  <c r="CO97" i="218"/>
  <c r="BL112" i="218"/>
  <c r="AQ97" i="218"/>
  <c r="AP97" i="218" s="1"/>
  <c r="T97" i="218"/>
  <c r="EK97" i="218" s="1"/>
  <c r="B97" i="218"/>
  <c r="DF112" i="218"/>
  <c r="DD112" i="218"/>
  <c r="B95" i="218"/>
  <c r="A2" i="218"/>
  <c r="DN97" i="217"/>
  <c r="DS97" i="217" s="1"/>
  <c r="DD97" i="217"/>
  <c r="DI97" i="217" s="1"/>
  <c r="DN95" i="217"/>
  <c r="J466" i="102"/>
  <c r="J97" i="217" s="1"/>
  <c r="DZ95" i="217"/>
  <c r="DX97" i="217"/>
  <c r="EC97" i="217" s="1"/>
  <c r="DX95" i="217"/>
  <c r="DT97" i="217"/>
  <c r="DT95" i="217"/>
  <c r="DZ108" i="217"/>
  <c r="DP108" i="217"/>
  <c r="DP95" i="217"/>
  <c r="DJ97" i="217"/>
  <c r="DJ95" i="217"/>
  <c r="DF108" i="217"/>
  <c r="DF95" i="217"/>
  <c r="DD95" i="217"/>
  <c r="CZ97" i="217"/>
  <c r="CZ95" i="217"/>
  <c r="CV108" i="217"/>
  <c r="CV95" i="217"/>
  <c r="CT97" i="217"/>
  <c r="CT95" i="217"/>
  <c r="CP97" i="217"/>
  <c r="CP95" i="217"/>
  <c r="CL108" i="217"/>
  <c r="CL95" i="217"/>
  <c r="CK95" i="217" s="1"/>
  <c r="CJ97" i="217"/>
  <c r="CO97" i="217" s="1"/>
  <c r="CJ95" i="217"/>
  <c r="CF97" i="217"/>
  <c r="CF95" i="217"/>
  <c r="CB108" i="217"/>
  <c r="BZ97" i="217"/>
  <c r="BV97" i="217"/>
  <c r="BR98" i="217"/>
  <c r="BR97" i="217"/>
  <c r="BP98" i="217"/>
  <c r="BP97" i="217"/>
  <c r="BU97" i="217" s="1"/>
  <c r="BL98" i="217"/>
  <c r="BL97" i="217"/>
  <c r="BQ97" i="217" s="1"/>
  <c r="BH98" i="217"/>
  <c r="BH97" i="217"/>
  <c r="BG97" i="217" s="1"/>
  <c r="BF98" i="217"/>
  <c r="BF97" i="217"/>
  <c r="BB98" i="217"/>
  <c r="BB97" i="217"/>
  <c r="BE97" i="217" s="1"/>
  <c r="AX96" i="217"/>
  <c r="AX98" i="217"/>
  <c r="AX97" i="217"/>
  <c r="AV96" i="217"/>
  <c r="AV98" i="217"/>
  <c r="AV97" i="217"/>
  <c r="AR96" i="217"/>
  <c r="AR112" i="217" s="1"/>
  <c r="C126" i="217" s="1"/>
  <c r="AR98" i="217"/>
  <c r="AR97" i="217"/>
  <c r="AN96" i="217"/>
  <c r="AN98" i="217"/>
  <c r="AN97" i="217"/>
  <c r="AL96" i="217"/>
  <c r="AL98" i="217"/>
  <c r="AL97" i="217"/>
  <c r="AH96" i="217"/>
  <c r="AH98" i="217"/>
  <c r="AH97" i="217"/>
  <c r="AD96" i="217"/>
  <c r="AD98" i="217"/>
  <c r="AD97" i="217"/>
  <c r="AB96" i="217"/>
  <c r="AB98" i="217"/>
  <c r="AB97" i="217"/>
  <c r="X96" i="217"/>
  <c r="X98" i="217"/>
  <c r="X97" i="217"/>
  <c r="T98" i="217"/>
  <c r="T97" i="217"/>
  <c r="T95" i="217"/>
  <c r="R98" i="217"/>
  <c r="R97" i="217"/>
  <c r="R95" i="217"/>
  <c r="N98" i="217"/>
  <c r="N97" i="217"/>
  <c r="N95" i="217"/>
  <c r="G95" i="217"/>
  <c r="G96" i="217"/>
  <c r="B96" i="217"/>
  <c r="H96" i="217"/>
  <c r="EC108" i="217"/>
  <c r="DS108" i="217"/>
  <c r="DI108" i="217"/>
  <c r="CY108" i="217"/>
  <c r="CO108" i="217"/>
  <c r="CE108" i="217"/>
  <c r="W99" i="217"/>
  <c r="B98" i="217"/>
  <c r="CB97" i="217"/>
  <c r="CB112" i="217" s="1"/>
  <c r="B97" i="217"/>
  <c r="BB112" i="217"/>
  <c r="C127" i="217" s="1"/>
  <c r="H95" i="217"/>
  <c r="F95" i="217"/>
  <c r="D95" i="217"/>
  <c r="C95" i="217"/>
  <c r="B95" i="217"/>
  <c r="A2" i="217"/>
  <c r="L699" i="102"/>
  <c r="L702" i="102" s="1"/>
  <c r="J699" i="102"/>
  <c r="J702" i="102" s="1"/>
  <c r="N639" i="102"/>
  <c r="L639" i="102"/>
  <c r="J639" i="102"/>
  <c r="J642" i="102" s="1"/>
  <c r="N680" i="102"/>
  <c r="O680" i="102" s="1"/>
  <c r="N447" i="102"/>
  <c r="O447" i="102" s="1"/>
  <c r="E19" i="175" s="1"/>
  <c r="N702" i="102"/>
  <c r="O695" i="102"/>
  <c r="M693" i="102"/>
  <c r="L693" i="102"/>
  <c r="K693" i="102"/>
  <c r="J693" i="102"/>
  <c r="L407" i="102"/>
  <c r="L406" i="102"/>
  <c r="N466" i="102"/>
  <c r="N462" i="102"/>
  <c r="L466" i="102"/>
  <c r="L462" i="102"/>
  <c r="J462" i="102"/>
  <c r="J98" i="217" s="1"/>
  <c r="N407" i="102"/>
  <c r="N406" i="102"/>
  <c r="J407" i="102"/>
  <c r="J406" i="102"/>
  <c r="J95" i="217" s="1"/>
  <c r="M460" i="102"/>
  <c r="L460" i="102"/>
  <c r="K460" i="102"/>
  <c r="J460" i="102"/>
  <c r="P9" i="159" a="1"/>
  <c r="P9" i="159" s="1"/>
  <c r="M9" i="159" a="1"/>
  <c r="M9" i="159" s="1"/>
  <c r="K15" i="208"/>
  <c r="K14" i="208"/>
  <c r="K13" i="208"/>
  <c r="C14" i="208"/>
  <c r="C11" i="208"/>
  <c r="C13" i="208" s="1"/>
  <c r="C15" i="208" s="1"/>
  <c r="F59" i="207"/>
  <c r="F58" i="207"/>
  <c r="E58" i="207"/>
  <c r="D58" i="207"/>
  <c r="F22" i="207"/>
  <c r="E22" i="207"/>
  <c r="D22" i="207"/>
  <c r="J13" i="162"/>
  <c r="I15" i="208" s="1"/>
  <c r="J12" i="162"/>
  <c r="I14" i="208" s="1"/>
  <c r="D38" i="207"/>
  <c r="F61" i="207"/>
  <c r="F62" i="207" s="1"/>
  <c r="G13" i="162"/>
  <c r="G12" i="162"/>
  <c r="J11" i="162"/>
  <c r="I13" i="208" s="1"/>
  <c r="G11" i="162"/>
  <c r="AK97" i="218" l="1"/>
  <c r="AU96" i="217"/>
  <c r="N469" i="102"/>
  <c r="BU97" i="218"/>
  <c r="BP112" i="218"/>
  <c r="CE96" i="218"/>
  <c r="L409" i="102"/>
  <c r="CN97" i="218"/>
  <c r="DM97" i="218"/>
  <c r="AK96" i="217"/>
  <c r="EC97" i="218"/>
  <c r="EB97" i="218" s="1"/>
  <c r="DX112" i="218"/>
  <c r="O407" i="102"/>
  <c r="AG98" i="217"/>
  <c r="AM96" i="217"/>
  <c r="CI96" i="218"/>
  <c r="AK96" i="218"/>
  <c r="AU98" i="217"/>
  <c r="Q96" i="218"/>
  <c r="S96" i="218"/>
  <c r="L14" i="208"/>
  <c r="N409" i="102"/>
  <c r="CF112" i="217"/>
  <c r="C130" i="217" s="1"/>
  <c r="DC95" i="217"/>
  <c r="DX112" i="217"/>
  <c r="BO96" i="218"/>
  <c r="CS96" i="218"/>
  <c r="AF96" i="218"/>
  <c r="BG96" i="218"/>
  <c r="N460" i="102"/>
  <c r="BA96" i="217"/>
  <c r="AZ96" i="217" s="1"/>
  <c r="BB112" i="218"/>
  <c r="C127" i="218" s="1"/>
  <c r="AF98" i="217"/>
  <c r="BJ97" i="218"/>
  <c r="BE96" i="218"/>
  <c r="K9" i="111"/>
  <c r="W95" i="217"/>
  <c r="V95" i="217" s="1"/>
  <c r="AQ96" i="217"/>
  <c r="AP96" i="217" s="1"/>
  <c r="AA97" i="218"/>
  <c r="BF112" i="218"/>
  <c r="DI96" i="218"/>
  <c r="DH96" i="218" s="1"/>
  <c r="DY96" i="218"/>
  <c r="J469" i="102"/>
  <c r="O699" i="102"/>
  <c r="P699" i="102" s="1"/>
  <c r="DC97" i="217"/>
  <c r="AC96" i="217"/>
  <c r="BE98" i="217"/>
  <c r="AL112" i="218"/>
  <c r="EK96" i="218"/>
  <c r="W96" i="218"/>
  <c r="V96" i="218" s="1"/>
  <c r="AA96" i="217"/>
  <c r="S95" i="217"/>
  <c r="AM97" i="217"/>
  <c r="DE96" i="218"/>
  <c r="O466" i="102"/>
  <c r="P466" i="102" s="1"/>
  <c r="DM97" i="217"/>
  <c r="BA97" i="217"/>
  <c r="AZ97" i="217" s="1"/>
  <c r="AG97" i="218"/>
  <c r="AF97" i="218" s="1"/>
  <c r="CV112" i="218"/>
  <c r="CI97" i="218"/>
  <c r="AQ96" i="218"/>
  <c r="AP96" i="218" s="1"/>
  <c r="CD96" i="218"/>
  <c r="I18" i="208"/>
  <c r="EE96" i="217"/>
  <c r="BH108" i="217"/>
  <c r="BK108" i="217" s="1"/>
  <c r="N112" i="218"/>
  <c r="W97" i="218"/>
  <c r="V97" i="218" s="1"/>
  <c r="CK96" i="218"/>
  <c r="D55" i="74"/>
  <c r="E54" i="75" s="1"/>
  <c r="E40" i="75"/>
  <c r="H19" i="2"/>
  <c r="K9" i="173" s="1"/>
  <c r="H18" i="176"/>
  <c r="K20" i="208"/>
  <c r="L20" i="208" s="1"/>
  <c r="K18" i="208"/>
  <c r="L18" i="208" s="1"/>
  <c r="K19" i="208"/>
  <c r="L19" i="208" s="1"/>
  <c r="EC96" i="218"/>
  <c r="EB96" i="218" s="1"/>
  <c r="AA98" i="217"/>
  <c r="AX108" i="217"/>
  <c r="BA108" i="217" s="1"/>
  <c r="J409" i="102"/>
  <c r="J473" i="102" s="1"/>
  <c r="CI95" i="217"/>
  <c r="BK98" i="217"/>
  <c r="BJ98" i="217" s="1"/>
  <c r="AA96" i="218"/>
  <c r="BY96" i="218"/>
  <c r="CY96" i="218"/>
  <c r="CX96" i="218" s="1"/>
  <c r="L21" i="208"/>
  <c r="C93" i="171"/>
  <c r="CT112" i="218"/>
  <c r="CX97" i="218"/>
  <c r="O406" i="102"/>
  <c r="O409" i="102" s="1"/>
  <c r="J96" i="217"/>
  <c r="J112" i="217" s="1"/>
  <c r="EK96" i="217"/>
  <c r="EJ96" i="217" s="1"/>
  <c r="DS97" i="218"/>
  <c r="DR97" i="218" s="1"/>
  <c r="CO96" i="218"/>
  <c r="CN96" i="218" s="1"/>
  <c r="DS96" i="218"/>
  <c r="DR96" i="218" s="1"/>
  <c r="DC96" i="218"/>
  <c r="CO95" i="217"/>
  <c r="CN95" i="217" s="1"/>
  <c r="BY97" i="218"/>
  <c r="EE96" i="218"/>
  <c r="CA96" i="218"/>
  <c r="AW96" i="217"/>
  <c r="L22" i="208"/>
  <c r="EI96" i="217"/>
  <c r="EH96" i="217" s="1"/>
  <c r="EE97" i="218"/>
  <c r="EJ97" i="218" s="1"/>
  <c r="Q9" i="111"/>
  <c r="T9" i="111" s="1"/>
  <c r="BK96" i="218"/>
  <c r="BJ96" i="218" s="1"/>
  <c r="AG96" i="217"/>
  <c r="AF96" i="217" s="1"/>
  <c r="BZ112" i="218"/>
  <c r="BY112" i="218" s="1"/>
  <c r="O693" i="102"/>
  <c r="E18" i="176"/>
  <c r="I19" i="2" s="1"/>
  <c r="K42" i="173" s="1"/>
  <c r="L13" i="208"/>
  <c r="G47" i="171"/>
  <c r="J85" i="171"/>
  <c r="J80" i="171"/>
  <c r="L15" i="208"/>
  <c r="DH97" i="218"/>
  <c r="EI96" i="218"/>
  <c r="AH112" i="218"/>
  <c r="AQ108" i="218" s="1"/>
  <c r="AQ112" i="218" s="1"/>
  <c r="AC96" i="218"/>
  <c r="AV112" i="218"/>
  <c r="CJ112" i="218"/>
  <c r="AU96" i="218"/>
  <c r="CA112" i="218"/>
  <c r="DN112" i="218"/>
  <c r="AB112" i="218"/>
  <c r="R112" i="218"/>
  <c r="C123" i="218"/>
  <c r="BT97" i="218"/>
  <c r="C128" i="218"/>
  <c r="BO112" i="218"/>
  <c r="DP112" i="218"/>
  <c r="CZ112" i="218"/>
  <c r="C132" i="218" s="1"/>
  <c r="EI97" i="218"/>
  <c r="DT112" i="218"/>
  <c r="C134" i="218" s="1"/>
  <c r="AN112" i="218"/>
  <c r="X112" i="218"/>
  <c r="CP112" i="218"/>
  <c r="C131" i="218" s="1"/>
  <c r="CE108" i="218"/>
  <c r="CE112" i="218" s="1"/>
  <c r="AR112" i="218"/>
  <c r="DZ112" i="218"/>
  <c r="CF112" i="218"/>
  <c r="C130" i="218" s="1"/>
  <c r="BE97" i="218"/>
  <c r="DJ112" i="218"/>
  <c r="C133" i="218" s="1"/>
  <c r="Q97" i="218"/>
  <c r="CD97" i="218"/>
  <c r="AQ98" i="217"/>
  <c r="AP98" i="217" s="1"/>
  <c r="EB97" i="217"/>
  <c r="BA98" i="217"/>
  <c r="AZ98" i="217" s="1"/>
  <c r="S98" i="217"/>
  <c r="Q95" i="217"/>
  <c r="CU95" i="217"/>
  <c r="BK97" i="217"/>
  <c r="BJ97" i="217" s="1"/>
  <c r="CS97" i="217"/>
  <c r="AV112" i="217"/>
  <c r="AA97" i="217"/>
  <c r="AB112" i="217"/>
  <c r="DZ112" i="217"/>
  <c r="AU97" i="217"/>
  <c r="AK98" i="217"/>
  <c r="BL112" i="217"/>
  <c r="DP112" i="217"/>
  <c r="S97" i="217"/>
  <c r="BH112" i="217"/>
  <c r="BG112" i="217" s="1"/>
  <c r="EK97" i="217"/>
  <c r="DI95" i="217"/>
  <c r="DH95" i="217" s="1"/>
  <c r="W97" i="217"/>
  <c r="V97" i="217" s="1"/>
  <c r="DH97" i="217"/>
  <c r="BO98" i="217"/>
  <c r="DD112" i="217"/>
  <c r="CA97" i="217"/>
  <c r="DF112" i="217"/>
  <c r="AW97" i="217"/>
  <c r="N112" i="217"/>
  <c r="EE95" i="217"/>
  <c r="W98" i="217"/>
  <c r="V98" i="217" s="1"/>
  <c r="EC95" i="217"/>
  <c r="AM98" i="217"/>
  <c r="Q98" i="217"/>
  <c r="DN112" i="217"/>
  <c r="AW98" i="217"/>
  <c r="BF112" i="217"/>
  <c r="BE112" i="217" s="1"/>
  <c r="CV112" i="217"/>
  <c r="BQ98" i="217"/>
  <c r="DR97" i="217"/>
  <c r="BT97" i="217"/>
  <c r="EE98" i="217"/>
  <c r="DY95" i="217"/>
  <c r="BG98" i="217"/>
  <c r="CL112" i="217"/>
  <c r="CK112" i="217" s="1"/>
  <c r="DT112" i="217"/>
  <c r="C134" i="217" s="1"/>
  <c r="CS95" i="217"/>
  <c r="BY97" i="217"/>
  <c r="EI98" i="217"/>
  <c r="AC97" i="217"/>
  <c r="AU112" i="217"/>
  <c r="CN97" i="217"/>
  <c r="X112" i="217"/>
  <c r="CE97" i="217"/>
  <c r="CD97" i="217" s="1"/>
  <c r="CJ112" i="217"/>
  <c r="CI97" i="217"/>
  <c r="BV112" i="217"/>
  <c r="C129" i="217" s="1"/>
  <c r="EK95" i="217"/>
  <c r="AC98" i="217"/>
  <c r="CP112" i="217"/>
  <c r="C131" i="217" s="1"/>
  <c r="DE95" i="217"/>
  <c r="DW95" i="217"/>
  <c r="DW97" i="217"/>
  <c r="BP112" i="217"/>
  <c r="DM95" i="217"/>
  <c r="EK98" i="217"/>
  <c r="BU98" i="217"/>
  <c r="BT98" i="217" s="1"/>
  <c r="AG97" i="217"/>
  <c r="AF97" i="217" s="1"/>
  <c r="CY97" i="217"/>
  <c r="CX97" i="217" s="1"/>
  <c r="DS95" i="217"/>
  <c r="CT112" i="217"/>
  <c r="DJ112" i="217"/>
  <c r="R112" i="217"/>
  <c r="CZ112" i="217"/>
  <c r="C132" i="217" s="1"/>
  <c r="DO95" i="217"/>
  <c r="CY95" i="217"/>
  <c r="Q97" i="217"/>
  <c r="EI97" i="217"/>
  <c r="AH112" i="217"/>
  <c r="BO97" i="217"/>
  <c r="EE97" i="217"/>
  <c r="EI95" i="217"/>
  <c r="BZ112" i="217"/>
  <c r="N693" i="102"/>
  <c r="O639" i="102"/>
  <c r="P639" i="102" s="1"/>
  <c r="L642" i="102"/>
  <c r="L706" i="102" s="1"/>
  <c r="J706" i="102"/>
  <c r="D77" i="209" s="1"/>
  <c r="D78" i="209" s="1"/>
  <c r="D79" i="209" s="1"/>
  <c r="D80" i="209" s="1"/>
  <c r="D81" i="209" s="1"/>
  <c r="N642" i="102"/>
  <c r="L469" i="102"/>
  <c r="O460" i="102"/>
  <c r="N473" i="102"/>
  <c r="L473" i="102"/>
  <c r="P407" i="102"/>
  <c r="P406" i="102"/>
  <c r="O462" i="102"/>
  <c r="P12" i="159"/>
  <c r="P11" i="159"/>
  <c r="P17" i="159"/>
  <c r="P14" i="159"/>
  <c r="P10" i="159"/>
  <c r="P20" i="159"/>
  <c r="P19" i="159"/>
  <c r="P18" i="159"/>
  <c r="P16" i="159"/>
  <c r="P15" i="159"/>
  <c r="P13" i="159"/>
  <c r="M20" i="159"/>
  <c r="M12" i="159"/>
  <c r="M19" i="159"/>
  <c r="M17" i="159"/>
  <c r="M14" i="159"/>
  <c r="M11" i="159"/>
  <c r="M18" i="159"/>
  <c r="M10" i="159"/>
  <c r="M16" i="159"/>
  <c r="M15" i="159"/>
  <c r="M13" i="159"/>
  <c r="E39" i="207"/>
  <c r="E59" i="207" s="1"/>
  <c r="E61" i="207" s="1"/>
  <c r="E62" i="207" s="1"/>
  <c r="BE112" i="218" l="1"/>
  <c r="Q112" i="218"/>
  <c r="CI112" i="217"/>
  <c r="I18" i="176"/>
  <c r="EJ96" i="218"/>
  <c r="P409" i="102"/>
  <c r="O702" i="102"/>
  <c r="O706" i="102" s="1"/>
  <c r="AX112" i="217"/>
  <c r="AW112" i="217" s="1"/>
  <c r="CY112" i="218"/>
  <c r="D131" i="218" s="1"/>
  <c r="EN96" i="217"/>
  <c r="O642" i="102"/>
  <c r="P642" i="102" s="1"/>
  <c r="DW112" i="218"/>
  <c r="G51" i="171"/>
  <c r="M94" i="174"/>
  <c r="C123" i="217"/>
  <c r="T108" i="217"/>
  <c r="C128" i="217"/>
  <c r="BR108" i="217"/>
  <c r="N706" i="102"/>
  <c r="E9" i="173"/>
  <c r="F9" i="173"/>
  <c r="F42" i="173"/>
  <c r="E42" i="173"/>
  <c r="EE113" i="217"/>
  <c r="E84" i="175"/>
  <c r="AM112" i="218"/>
  <c r="D58" i="209"/>
  <c r="D62" i="209" s="1"/>
  <c r="F78" i="176"/>
  <c r="EE113" i="218"/>
  <c r="BO112" i="217"/>
  <c r="C124" i="217"/>
  <c r="AD108" i="217"/>
  <c r="C125" i="218"/>
  <c r="AK112" i="218"/>
  <c r="EN96" i="218"/>
  <c r="EH96" i="218"/>
  <c r="EC112" i="218"/>
  <c r="D134" i="218" s="1"/>
  <c r="DM112" i="218"/>
  <c r="DO112" i="218"/>
  <c r="DE112" i="218"/>
  <c r="DC112" i="218"/>
  <c r="DS112" i="218"/>
  <c r="CI112" i="218"/>
  <c r="T112" i="218"/>
  <c r="S112" i="218" s="1"/>
  <c r="W108" i="218"/>
  <c r="W112" i="218" s="1"/>
  <c r="BH112" i="218"/>
  <c r="BG112" i="218" s="1"/>
  <c r="BK108" i="218"/>
  <c r="BK112" i="218" s="1"/>
  <c r="C126" i="218"/>
  <c r="BR112" i="218"/>
  <c r="BQ112" i="218" s="1"/>
  <c r="BU108" i="218"/>
  <c r="BU112" i="218" s="1"/>
  <c r="CU112" i="218"/>
  <c r="EH97" i="218"/>
  <c r="EN97" i="218"/>
  <c r="D129" i="218"/>
  <c r="CD112" i="218"/>
  <c r="C124" i="218"/>
  <c r="AA112" i="218"/>
  <c r="CO112" i="218"/>
  <c r="DI112" i="218"/>
  <c r="AU112" i="218"/>
  <c r="CS112" i="218"/>
  <c r="EE112" i="218"/>
  <c r="CK112" i="218"/>
  <c r="DY112" i="218"/>
  <c r="D125" i="218"/>
  <c r="AP112" i="218"/>
  <c r="EI112" i="218"/>
  <c r="C125" i="217"/>
  <c r="AN108" i="217"/>
  <c r="DM112" i="217"/>
  <c r="EN98" i="217"/>
  <c r="EO98" i="217" s="1"/>
  <c r="EJ97" i="217"/>
  <c r="EH98" i="217"/>
  <c r="Q112" i="217"/>
  <c r="EJ95" i="217"/>
  <c r="EJ98" i="217"/>
  <c r="CO112" i="217"/>
  <c r="CN112" i="217" s="1"/>
  <c r="EE112" i="217"/>
  <c r="DW112" i="217"/>
  <c r="EC112" i="217"/>
  <c r="EB95" i="217"/>
  <c r="DY112" i="217"/>
  <c r="AL112" i="217"/>
  <c r="AK112" i="217" s="1"/>
  <c r="AA112" i="217"/>
  <c r="CS112" i="217"/>
  <c r="DI112" i="217"/>
  <c r="DR95" i="217"/>
  <c r="DS112" i="217"/>
  <c r="CA112" i="217"/>
  <c r="BY112" i="217"/>
  <c r="EN97" i="217"/>
  <c r="EH97" i="217"/>
  <c r="BA112" i="217"/>
  <c r="DC112" i="217"/>
  <c r="BK112" i="217"/>
  <c r="CY112" i="217"/>
  <c r="CX95" i="217"/>
  <c r="CE112" i="217"/>
  <c r="EN95" i="217"/>
  <c r="EH95" i="217"/>
  <c r="EI112" i="217"/>
  <c r="AK97" i="217"/>
  <c r="AQ97" i="217"/>
  <c r="AP97" i="217" s="1"/>
  <c r="C133" i="217"/>
  <c r="DO112" i="217"/>
  <c r="DE112" i="217"/>
  <c r="CU112" i="217"/>
  <c r="O469" i="102"/>
  <c r="P462" i="102"/>
  <c r="G7" i="162"/>
  <c r="P702" i="102" l="1"/>
  <c r="CX112" i="218"/>
  <c r="EB112" i="218"/>
  <c r="BU108" i="217"/>
  <c r="BU112" i="217" s="1"/>
  <c r="BR112" i="217"/>
  <c r="BQ112" i="217" s="1"/>
  <c r="E78" i="176"/>
  <c r="M95" i="174"/>
  <c r="E28" i="174"/>
  <c r="C135" i="217"/>
  <c r="G42" i="173"/>
  <c r="C11" i="209" s="1"/>
  <c r="P706" i="102"/>
  <c r="E77" i="209"/>
  <c r="E78" i="209" s="1"/>
  <c r="E79" i="209" s="1"/>
  <c r="E80" i="209" s="1"/>
  <c r="E81" i="209" s="1"/>
  <c r="E17" i="176"/>
  <c r="I17" i="2" s="1"/>
  <c r="K41" i="173" s="1"/>
  <c r="K77" i="176"/>
  <c r="N94" i="174"/>
  <c r="EO96" i="217"/>
  <c r="EM96" i="217"/>
  <c r="G9" i="173"/>
  <c r="EM96" i="218"/>
  <c r="EO96" i="218"/>
  <c r="C135" i="218"/>
  <c r="AG108" i="218"/>
  <c r="AG112" i="218" s="1"/>
  <c r="AD112" i="218"/>
  <c r="AC112" i="218" s="1"/>
  <c r="EK108" i="218"/>
  <c r="EO97" i="218"/>
  <c r="EM97" i="218"/>
  <c r="BA108" i="218"/>
  <c r="BA112" i="218" s="1"/>
  <c r="AX112" i="218"/>
  <c r="AW112" i="218" s="1"/>
  <c r="BJ112" i="218"/>
  <c r="D127" i="218"/>
  <c r="V112" i="218"/>
  <c r="D123" i="218"/>
  <c r="EH112" i="218"/>
  <c r="D132" i="218"/>
  <c r="DH112" i="218"/>
  <c r="D128" i="218"/>
  <c r="BT112" i="218"/>
  <c r="DR112" i="218"/>
  <c r="D133" i="218"/>
  <c r="D130" i="218"/>
  <c r="CN112" i="218"/>
  <c r="EM98" i="217"/>
  <c r="AQ108" i="217"/>
  <c r="AQ112" i="217" s="1"/>
  <c r="AN112" i="217"/>
  <c r="AM112" i="217" s="1"/>
  <c r="D130" i="217"/>
  <c r="W108" i="217"/>
  <c r="W112" i="217" s="1"/>
  <c r="D123" i="217" s="1"/>
  <c r="T112" i="217"/>
  <c r="S112" i="217" s="1"/>
  <c r="AG108" i="217"/>
  <c r="AG112" i="217" s="1"/>
  <c r="EK108" i="217"/>
  <c r="AD112" i="217"/>
  <c r="AC112" i="217" s="1"/>
  <c r="EH112" i="217"/>
  <c r="EB112" i="217"/>
  <c r="D134" i="217"/>
  <c r="AZ112" i="217"/>
  <c r="D126" i="217"/>
  <c r="EO95" i="217"/>
  <c r="EM95" i="217"/>
  <c r="BT112" i="217"/>
  <c r="D128" i="217"/>
  <c r="DR112" i="217"/>
  <c r="D133" i="217"/>
  <c r="EM97" i="217"/>
  <c r="EO97" i="217"/>
  <c r="DH112" i="217"/>
  <c r="D132" i="217"/>
  <c r="D129" i="217"/>
  <c r="CD112" i="217"/>
  <c r="D131" i="217"/>
  <c r="CX112" i="217"/>
  <c r="BJ112" i="217"/>
  <c r="D127" i="217"/>
  <c r="P469" i="102"/>
  <c r="O473" i="102"/>
  <c r="EK98" i="185"/>
  <c r="EJ98" i="185" s="1"/>
  <c r="EE98" i="185"/>
  <c r="DZ99" i="185"/>
  <c r="DZ97" i="185"/>
  <c r="DZ96" i="185"/>
  <c r="DX99" i="185"/>
  <c r="DX97" i="185"/>
  <c r="DX96" i="185"/>
  <c r="DT99" i="185"/>
  <c r="DT97" i="185"/>
  <c r="DT96" i="185"/>
  <c r="DP99" i="185"/>
  <c r="DP97" i="185"/>
  <c r="DP96" i="185"/>
  <c r="DN99" i="185"/>
  <c r="DN97" i="185"/>
  <c r="DN96" i="185"/>
  <c r="DJ99" i="185"/>
  <c r="DJ97" i="185"/>
  <c r="DJ96" i="185"/>
  <c r="DZ109" i="185"/>
  <c r="DP109" i="185"/>
  <c r="DF109" i="185"/>
  <c r="DF99" i="185"/>
  <c r="DF97" i="185"/>
  <c r="DF96" i="185"/>
  <c r="DD99" i="185"/>
  <c r="DD97" i="185"/>
  <c r="DD96" i="185"/>
  <c r="CZ99" i="185"/>
  <c r="CZ97" i="185"/>
  <c r="CZ96" i="185"/>
  <c r="CV109" i="185"/>
  <c r="CV99" i="185"/>
  <c r="CV97" i="185"/>
  <c r="CV96" i="185"/>
  <c r="CT99" i="185"/>
  <c r="CT97" i="185"/>
  <c r="CT96" i="185"/>
  <c r="CP99" i="185"/>
  <c r="CP97" i="185"/>
  <c r="CP96" i="185"/>
  <c r="CL99" i="185"/>
  <c r="CL97" i="185"/>
  <c r="CJ99" i="185"/>
  <c r="CJ97" i="185"/>
  <c r="CF99" i="185"/>
  <c r="CF97" i="185"/>
  <c r="CL109" i="185"/>
  <c r="CB109" i="185"/>
  <c r="CB99" i="185"/>
  <c r="CB97" i="185"/>
  <c r="CB95" i="185"/>
  <c r="BZ99" i="185"/>
  <c r="BZ97" i="185"/>
  <c r="BZ95" i="185"/>
  <c r="BV99" i="185"/>
  <c r="BV97" i="185"/>
  <c r="BV95" i="185"/>
  <c r="BR99" i="185"/>
  <c r="BR97" i="185"/>
  <c r="BR95" i="185"/>
  <c r="BR109" i="185"/>
  <c r="BP99" i="185"/>
  <c r="BP97" i="185"/>
  <c r="BP95" i="185"/>
  <c r="BL99" i="185"/>
  <c r="BL97" i="185"/>
  <c r="BL95" i="185"/>
  <c r="BF99" i="185"/>
  <c r="BF97" i="185"/>
  <c r="BF95" i="185"/>
  <c r="BH109" i="185"/>
  <c r="BH99" i="185"/>
  <c r="BH97" i="185"/>
  <c r="BH95" i="185"/>
  <c r="AH98" i="185"/>
  <c r="BB99" i="185"/>
  <c r="BB97" i="185"/>
  <c r="BB96" i="185"/>
  <c r="BB95" i="185"/>
  <c r="AX109" i="185"/>
  <c r="AX99" i="185"/>
  <c r="AX97" i="185"/>
  <c r="AX95" i="185"/>
  <c r="AV99" i="185"/>
  <c r="AV97" i="185"/>
  <c r="AV95" i="185"/>
  <c r="AR99" i="185"/>
  <c r="AR97" i="185"/>
  <c r="AR95" i="185"/>
  <c r="AN109" i="185"/>
  <c r="AN99" i="185"/>
  <c r="AN97" i="185"/>
  <c r="AN95" i="185"/>
  <c r="K9" i="208" s="1"/>
  <c r="AL99" i="185"/>
  <c r="AL95" i="185"/>
  <c r="AH99" i="185"/>
  <c r="AH95" i="185"/>
  <c r="AD109" i="185"/>
  <c r="AD99" i="185"/>
  <c r="AD97" i="185"/>
  <c r="AD95" i="185"/>
  <c r="AB99" i="185"/>
  <c r="AB97" i="185"/>
  <c r="X97" i="185"/>
  <c r="X95" i="185"/>
  <c r="T109" i="185"/>
  <c r="I10" i="208" l="1"/>
  <c r="V112" i="217"/>
  <c r="F41" i="173"/>
  <c r="E41" i="173"/>
  <c r="G41" i="173" s="1"/>
  <c r="N95" i="174"/>
  <c r="K78" i="176"/>
  <c r="I9" i="208"/>
  <c r="L9" i="208" s="1"/>
  <c r="L10" i="208"/>
  <c r="P473" i="102"/>
  <c r="E17" i="175"/>
  <c r="F28" i="174"/>
  <c r="F28" i="2"/>
  <c r="K10" i="208"/>
  <c r="D126" i="218"/>
  <c r="AZ112" i="218"/>
  <c r="EN108" i="218"/>
  <c r="EN112" i="218" s="1"/>
  <c r="EK112" i="218"/>
  <c r="EJ112" i="218" s="1"/>
  <c r="AF112" i="218"/>
  <c r="D124" i="218"/>
  <c r="D135" i="218" s="1"/>
  <c r="D136" i="218" s="1"/>
  <c r="EN108" i="217"/>
  <c r="EN112" i="217" s="1"/>
  <c r="EK112" i="217"/>
  <c r="EJ112" i="217" s="1"/>
  <c r="AF112" i="217"/>
  <c r="D124" i="217"/>
  <c r="D125" i="217"/>
  <c r="AP112" i="217"/>
  <c r="T95" i="185"/>
  <c r="K8" i="208" s="1"/>
  <c r="T97" i="185"/>
  <c r="R99" i="185"/>
  <c r="R97" i="185"/>
  <c r="N97" i="185"/>
  <c r="N96" i="185"/>
  <c r="N95" i="185"/>
  <c r="I8" i="208" s="1"/>
  <c r="B98" i="185"/>
  <c r="L8" i="208" l="1"/>
  <c r="H28" i="175"/>
  <c r="G28" i="2"/>
  <c r="H17" i="2"/>
  <c r="K8" i="173" s="1"/>
  <c r="H17" i="176"/>
  <c r="I17" i="176" s="1"/>
  <c r="EM112" i="218"/>
  <c r="EO112" i="218"/>
  <c r="EO112" i="217"/>
  <c r="EM112" i="217"/>
  <c r="D135" i="217"/>
  <c r="D136" i="217" s="1"/>
  <c r="H169" i="102"/>
  <c r="AF51" i="212"/>
  <c r="AF49" i="212"/>
  <c r="AE49" i="212"/>
  <c r="AG49" i="212" s="1"/>
  <c r="AF48" i="212"/>
  <c r="AG48" i="212" s="1"/>
  <c r="AE48" i="212"/>
  <c r="AF47" i="212"/>
  <c r="AE47" i="212"/>
  <c r="AG47" i="212" s="1"/>
  <c r="AF46" i="212"/>
  <c r="AE46" i="212"/>
  <c r="AG46" i="212" s="1"/>
  <c r="AF45" i="212"/>
  <c r="AE45" i="212"/>
  <c r="AG45" i="212" s="1"/>
  <c r="AF44" i="212"/>
  <c r="AG44" i="212" s="1"/>
  <c r="AE44" i="212"/>
  <c r="AF43" i="212"/>
  <c r="AE43" i="212"/>
  <c r="AG43" i="212" s="1"/>
  <c r="AF42" i="212"/>
  <c r="AE42" i="212"/>
  <c r="AG42" i="212" s="1"/>
  <c r="AF41" i="212"/>
  <c r="AE41" i="212"/>
  <c r="AG41" i="212" s="1"/>
  <c r="AF40" i="212"/>
  <c r="AG40" i="212" s="1"/>
  <c r="AE40" i="212"/>
  <c r="AF39" i="212"/>
  <c r="AE39" i="212"/>
  <c r="AG39" i="212" s="1"/>
  <c r="AF38" i="212"/>
  <c r="AF37" i="212" s="1"/>
  <c r="AE38" i="212"/>
  <c r="AG38" i="212" s="1"/>
  <c r="AG37" i="212" s="1"/>
  <c r="AG35" i="212"/>
  <c r="AF35" i="212"/>
  <c r="AE35" i="212"/>
  <c r="AG34" i="212"/>
  <c r="AF34" i="212"/>
  <c r="AE34" i="212"/>
  <c r="AF33" i="212"/>
  <c r="AE33" i="212"/>
  <c r="AG33" i="212" s="1"/>
  <c r="AF32" i="212"/>
  <c r="AE32" i="212"/>
  <c r="AG32" i="212" s="1"/>
  <c r="AG31" i="212"/>
  <c r="AF31" i="212"/>
  <c r="AE31" i="212"/>
  <c r="AG30" i="212"/>
  <c r="AF30" i="212"/>
  <c r="AE30" i="212"/>
  <c r="AF29" i="212"/>
  <c r="AE29" i="212"/>
  <c r="AG29" i="212" s="1"/>
  <c r="AF28" i="212"/>
  <c r="AE28" i="212"/>
  <c r="AG28" i="212" s="1"/>
  <c r="AG27" i="212"/>
  <c r="AF27" i="212"/>
  <c r="AE27" i="212"/>
  <c r="AG26" i="212"/>
  <c r="AF26" i="212"/>
  <c r="AE26" i="212"/>
  <c r="AF25" i="212"/>
  <c r="AE25" i="212"/>
  <c r="AG25" i="212" s="1"/>
  <c r="AF24" i="212"/>
  <c r="AE24" i="212"/>
  <c r="AG24" i="212" s="1"/>
  <c r="AF23" i="212"/>
  <c r="AF21" i="212"/>
  <c r="AE21" i="212"/>
  <c r="AG21" i="212" s="1"/>
  <c r="AF20" i="212"/>
  <c r="AE20" i="212"/>
  <c r="AG20" i="212" s="1"/>
  <c r="AF19" i="212"/>
  <c r="AE19" i="212"/>
  <c r="AG19" i="212" s="1"/>
  <c r="AF18" i="212"/>
  <c r="AE18" i="212"/>
  <c r="AG18" i="212" s="1"/>
  <c r="AG17" i="212"/>
  <c r="AF17" i="212"/>
  <c r="AE17" i="212"/>
  <c r="AF16" i="212"/>
  <c r="AE16" i="212"/>
  <c r="AG16" i="212" s="1"/>
  <c r="AF15" i="212"/>
  <c r="AE15" i="212"/>
  <c r="AG15" i="212" s="1"/>
  <c r="AF14" i="212"/>
  <c r="AE14" i="212"/>
  <c r="AG14" i="212" s="1"/>
  <c r="AG13" i="212"/>
  <c r="AF13" i="212"/>
  <c r="AE13" i="212"/>
  <c r="AF12" i="212"/>
  <c r="AE12" i="212"/>
  <c r="AG12" i="212" s="1"/>
  <c r="AF11" i="212"/>
  <c r="AE11" i="212"/>
  <c r="AG11" i="212" s="1"/>
  <c r="AF10" i="212"/>
  <c r="AG10" i="212"/>
  <c r="AF9" i="212"/>
  <c r="AE10" i="212"/>
  <c r="L24" i="212" a="1"/>
  <c r="L25" i="212" s="1"/>
  <c r="K24" i="212" a="1"/>
  <c r="K24" i="212" s="1"/>
  <c r="L10" i="212" a="1"/>
  <c r="L10" i="212" s="1"/>
  <c r="K10" i="212" a="1"/>
  <c r="K10" i="212" s="1"/>
  <c r="Q85" i="215"/>
  <c r="P85" i="215"/>
  <c r="O85" i="215"/>
  <c r="N85" i="215"/>
  <c r="M85" i="215"/>
  <c r="L85" i="215"/>
  <c r="K85" i="215"/>
  <c r="J85" i="215"/>
  <c r="I85" i="215"/>
  <c r="H85" i="215"/>
  <c r="G85" i="215"/>
  <c r="F85" i="215"/>
  <c r="L84" i="215"/>
  <c r="K84" i="215"/>
  <c r="J84" i="215"/>
  <c r="I84" i="215"/>
  <c r="H84" i="215"/>
  <c r="G84" i="215"/>
  <c r="F84" i="215"/>
  <c r="Q81" i="215"/>
  <c r="P81" i="215"/>
  <c r="O81" i="215"/>
  <c r="N81" i="215"/>
  <c r="M81" i="215"/>
  <c r="L81" i="215"/>
  <c r="K81" i="215"/>
  <c r="J81" i="215"/>
  <c r="I81" i="215"/>
  <c r="H81" i="215"/>
  <c r="G81" i="215"/>
  <c r="F81" i="215"/>
  <c r="R79" i="215"/>
  <c r="R78" i="215"/>
  <c r="B78" i="215"/>
  <c r="R77" i="215"/>
  <c r="R81" i="215" s="1"/>
  <c r="R59" i="215"/>
  <c r="B60" i="215"/>
  <c r="R60" i="215"/>
  <c r="R61" i="215"/>
  <c r="F63" i="215"/>
  <c r="G63" i="215"/>
  <c r="H63" i="215"/>
  <c r="I63" i="215"/>
  <c r="J63" i="215"/>
  <c r="K63" i="215"/>
  <c r="L63" i="215"/>
  <c r="M63" i="215"/>
  <c r="N63" i="215"/>
  <c r="O63" i="215"/>
  <c r="P63" i="215"/>
  <c r="Q63" i="215"/>
  <c r="D219" i="178"/>
  <c r="C219" i="178"/>
  <c r="D218" i="178"/>
  <c r="C218" i="178"/>
  <c r="D200" i="178"/>
  <c r="C200" i="178"/>
  <c r="D195" i="178"/>
  <c r="C195" i="178"/>
  <c r="AQ11" i="92"/>
  <c r="Q11" i="206" s="1"/>
  <c r="AQ10" i="92"/>
  <c r="Q10" i="206" s="1"/>
  <c r="F8" i="173" l="1"/>
  <c r="E8" i="173"/>
  <c r="G8" i="173" s="1"/>
  <c r="AE37" i="212"/>
  <c r="L33" i="212"/>
  <c r="L32" i="212"/>
  <c r="L30" i="212"/>
  <c r="L28" i="212"/>
  <c r="L26" i="212"/>
  <c r="L24" i="212"/>
  <c r="L35" i="212"/>
  <c r="L34" i="212"/>
  <c r="L31" i="212"/>
  <c r="L29" i="212"/>
  <c r="L27" i="212"/>
  <c r="K27" i="212"/>
  <c r="K26" i="212"/>
  <c r="K35" i="212"/>
  <c r="K33" i="212"/>
  <c r="K32" i="212"/>
  <c r="K30" i="212"/>
  <c r="K28" i="212"/>
  <c r="K25" i="212"/>
  <c r="K34" i="212"/>
  <c r="K31" i="212"/>
  <c r="K29" i="212"/>
  <c r="L19" i="212"/>
  <c r="L15" i="212"/>
  <c r="L12" i="212"/>
  <c r="L20" i="212"/>
  <c r="L18" i="212"/>
  <c r="L16" i="212"/>
  <c r="L13" i="212"/>
  <c r="L11" i="212"/>
  <c r="L21" i="212"/>
  <c r="L17" i="212"/>
  <c r="L14" i="212"/>
  <c r="K21" i="212"/>
  <c r="K20" i="212"/>
  <c r="K18" i="212"/>
  <c r="K15" i="212"/>
  <c r="K13" i="212"/>
  <c r="K12" i="212"/>
  <c r="K19" i="212"/>
  <c r="K17" i="212"/>
  <c r="K14" i="212"/>
  <c r="K11" i="212"/>
  <c r="K16" i="212"/>
  <c r="R63" i="215"/>
  <c r="K9" i="212" l="1"/>
  <c r="K23" i="212"/>
  <c r="K51" i="212" s="1"/>
  <c r="P21" i="159" l="1"/>
  <c r="M21" i="159"/>
  <c r="J21" i="159"/>
  <c r="H170" i="102"/>
  <c r="C169" i="102"/>
  <c r="A2" i="177" l="1"/>
  <c r="A2" i="129"/>
  <c r="A2" i="181"/>
  <c r="A1" i="193"/>
  <c r="A2" i="137"/>
  <c r="A2" i="138"/>
  <c r="A2" i="140"/>
  <c r="A2" i="144"/>
  <c r="A2" i="146"/>
  <c r="A2" i="147"/>
  <c r="A2" i="211"/>
  <c r="A2" i="213" l="1"/>
  <c r="A2" i="209"/>
  <c r="B2" i="173"/>
  <c r="A2" i="68"/>
  <c r="A2" i="67"/>
  <c r="O7" i="210"/>
  <c r="O6" i="210"/>
  <c r="O5" i="210"/>
  <c r="A2" i="210"/>
  <c r="A2" i="48"/>
  <c r="E12" i="45"/>
  <c r="E13" i="45"/>
  <c r="E14" i="45"/>
  <c r="E15" i="45"/>
  <c r="E17" i="45"/>
  <c r="E18" i="45"/>
  <c r="E19" i="45"/>
  <c r="E20" i="45"/>
  <c r="E21" i="45"/>
  <c r="E22" i="45"/>
  <c r="E24" i="45"/>
  <c r="A2" i="45"/>
  <c r="F25" i="45"/>
  <c r="C25" i="45"/>
  <c r="F118" i="44"/>
  <c r="H15" i="44" s="1"/>
  <c r="I15" i="44" s="1"/>
  <c r="C107" i="44"/>
  <c r="D107" i="44" s="1"/>
  <c r="C106" i="44"/>
  <c r="F106" i="44" s="1"/>
  <c r="F116" i="44"/>
  <c r="C95" i="44"/>
  <c r="C96" i="44" s="1"/>
  <c r="D93" i="44"/>
  <c r="C93" i="44"/>
  <c r="C81" i="44"/>
  <c r="C82" i="44" s="1"/>
  <c r="E79" i="44"/>
  <c r="D79" i="44"/>
  <c r="C79" i="44"/>
  <c r="C67" i="44"/>
  <c r="D66" i="44" s="1"/>
  <c r="F66" i="44" s="1"/>
  <c r="E65" i="44"/>
  <c r="D65" i="44"/>
  <c r="C65" i="44"/>
  <c r="C53" i="44"/>
  <c r="C54" i="44" s="1"/>
  <c r="D51" i="44"/>
  <c r="F51" i="44" s="1"/>
  <c r="E50" i="44"/>
  <c r="D50" i="44"/>
  <c r="C50" i="44"/>
  <c r="F48" i="44"/>
  <c r="D47" i="44"/>
  <c r="F47" i="44" s="1"/>
  <c r="D46" i="44"/>
  <c r="F46" i="44" s="1"/>
  <c r="D45" i="44"/>
  <c r="F45" i="44" s="1"/>
  <c r="D44" i="44"/>
  <c r="F44" i="44" s="1"/>
  <c r="D43" i="44"/>
  <c r="F43" i="44" s="1"/>
  <c r="D42" i="44"/>
  <c r="F42" i="44" s="1"/>
  <c r="D41" i="44"/>
  <c r="F41" i="44" s="1"/>
  <c r="D40" i="44"/>
  <c r="F40" i="44" s="1"/>
  <c r="D39" i="44"/>
  <c r="F39" i="44" s="1"/>
  <c r="D38" i="44"/>
  <c r="F38" i="44" s="1"/>
  <c r="D37" i="44"/>
  <c r="F37" i="44" s="1"/>
  <c r="D36" i="44"/>
  <c r="C36" i="44"/>
  <c r="F34" i="44"/>
  <c r="D33" i="44"/>
  <c r="F33" i="44" s="1"/>
  <c r="D32" i="44"/>
  <c r="F32" i="44" s="1"/>
  <c r="D31" i="44"/>
  <c r="F31" i="44" s="1"/>
  <c r="D30" i="44"/>
  <c r="F30" i="44" s="1"/>
  <c r="D29" i="44"/>
  <c r="F29" i="44" s="1"/>
  <c r="D28" i="44"/>
  <c r="F28" i="44" s="1"/>
  <c r="D27" i="44"/>
  <c r="F27" i="44" s="1"/>
  <c r="D26" i="44"/>
  <c r="F26" i="44" s="1"/>
  <c r="D25" i="44"/>
  <c r="F25" i="44" s="1"/>
  <c r="D24" i="44"/>
  <c r="F24" i="44" s="1"/>
  <c r="D23" i="44"/>
  <c r="F23" i="44" s="1"/>
  <c r="D22" i="44"/>
  <c r="F22" i="44" s="1"/>
  <c r="C12" i="210" l="1"/>
  <c r="D5" i="210"/>
  <c r="F79" i="44"/>
  <c r="O8" i="210"/>
  <c r="F36" i="44"/>
  <c r="F49" i="44" s="1"/>
  <c r="E49" i="44" s="1"/>
  <c r="C108" i="44"/>
  <c r="D108" i="44" s="1"/>
  <c r="C109" i="44" s="1"/>
  <c r="D109" i="44" s="1"/>
  <c r="F107" i="44"/>
  <c r="F93" i="44"/>
  <c r="F50" i="44"/>
  <c r="D80" i="44"/>
  <c r="F80" i="44" s="1"/>
  <c r="D52" i="44"/>
  <c r="F52" i="44" s="1"/>
  <c r="D94" i="44"/>
  <c r="F94" i="44" s="1"/>
  <c r="F65" i="44"/>
  <c r="D81" i="44"/>
  <c r="F81" i="44" s="1"/>
  <c r="C83" i="44"/>
  <c r="F35" i="44"/>
  <c r="E35" i="44" s="1"/>
  <c r="C55" i="44"/>
  <c r="D53" i="44"/>
  <c r="F53" i="44" s="1"/>
  <c r="C97" i="44"/>
  <c r="D95" i="44"/>
  <c r="F95" i="44" s="1"/>
  <c r="C68" i="44"/>
  <c r="D8" i="210" l="1"/>
  <c r="E5" i="210" s="1"/>
  <c r="F108" i="44"/>
  <c r="C110" i="44"/>
  <c r="D110" i="44" s="1"/>
  <c r="F109" i="44"/>
  <c r="D82" i="44"/>
  <c r="F82" i="44" s="1"/>
  <c r="C84" i="44"/>
  <c r="D54" i="44"/>
  <c r="F54" i="44" s="1"/>
  <c r="C56" i="44"/>
  <c r="C69" i="44"/>
  <c r="D67" i="44"/>
  <c r="F67" i="44" s="1"/>
  <c r="D96" i="44"/>
  <c r="F96" i="44" s="1"/>
  <c r="C98" i="44"/>
  <c r="E8" i="210" l="1"/>
  <c r="F5" i="210" s="1"/>
  <c r="E12" i="210"/>
  <c r="F110" i="44"/>
  <c r="C111" i="44"/>
  <c r="D111" i="44" s="1"/>
  <c r="C57" i="44"/>
  <c r="D55" i="44"/>
  <c r="F55" i="44" s="1"/>
  <c r="D97" i="44"/>
  <c r="F97" i="44" s="1"/>
  <c r="C99" i="44"/>
  <c r="C70" i="44"/>
  <c r="D68" i="44"/>
  <c r="F68" i="44" s="1"/>
  <c r="D83" i="44"/>
  <c r="F83" i="44" s="1"/>
  <c r="C85" i="44"/>
  <c r="D12" i="210" l="1"/>
  <c r="F8" i="210"/>
  <c r="G5" i="210" s="1"/>
  <c r="F12" i="210"/>
  <c r="C112" i="44"/>
  <c r="D112" i="44" s="1"/>
  <c r="F111" i="44"/>
  <c r="D84" i="44"/>
  <c r="F84" i="44" s="1"/>
  <c r="C86" i="44"/>
  <c r="D69" i="44"/>
  <c r="F69" i="44" s="1"/>
  <c r="C71" i="44"/>
  <c r="C58" i="44"/>
  <c r="D56" i="44"/>
  <c r="F56" i="44" s="1"/>
  <c r="D98" i="44"/>
  <c r="F98" i="44" s="1"/>
  <c r="C100" i="44"/>
  <c r="G8" i="210" l="1"/>
  <c r="H5" i="210" s="1"/>
  <c r="G12" i="210"/>
  <c r="C113" i="44"/>
  <c r="D113" i="44" s="1"/>
  <c r="F112" i="44"/>
  <c r="C101" i="44"/>
  <c r="D99" i="44"/>
  <c r="F99" i="44" s="1"/>
  <c r="C59" i="44"/>
  <c r="D57" i="44"/>
  <c r="F57" i="44" s="1"/>
  <c r="C87" i="44"/>
  <c r="D85" i="44"/>
  <c r="F85" i="44" s="1"/>
  <c r="D70" i="44"/>
  <c r="F70" i="44" s="1"/>
  <c r="C72" i="44"/>
  <c r="H8" i="210" l="1"/>
  <c r="I5" i="210" s="1"/>
  <c r="F113" i="44"/>
  <c r="C114" i="44"/>
  <c r="D114" i="44" s="1"/>
  <c r="F114" i="44" s="1"/>
  <c r="F115" i="44" s="1"/>
  <c r="E115" i="44" s="1"/>
  <c r="C73" i="44"/>
  <c r="D71" i="44"/>
  <c r="F71" i="44" s="1"/>
  <c r="C88" i="44"/>
  <c r="D86" i="44"/>
  <c r="F86" i="44" s="1"/>
  <c r="C60" i="44"/>
  <c r="D58" i="44"/>
  <c r="F58" i="44" s="1"/>
  <c r="D100" i="44"/>
  <c r="F100" i="44" s="1"/>
  <c r="C102" i="44"/>
  <c r="H12" i="210" l="1"/>
  <c r="I8" i="210"/>
  <c r="J5" i="210" s="1"/>
  <c r="D101" i="44"/>
  <c r="F101" i="44" s="1"/>
  <c r="C103" i="44"/>
  <c r="D87" i="44"/>
  <c r="F87" i="44" s="1"/>
  <c r="C89" i="44"/>
  <c r="C61" i="44"/>
  <c r="D59" i="44"/>
  <c r="F59" i="44" s="1"/>
  <c r="C74" i="44"/>
  <c r="D72" i="44"/>
  <c r="F72" i="44" s="1"/>
  <c r="J8" i="210" l="1"/>
  <c r="K5" i="210" s="1"/>
  <c r="J12" i="210"/>
  <c r="C62" i="44"/>
  <c r="D60" i="44"/>
  <c r="F60" i="44" s="1"/>
  <c r="C104" i="44"/>
  <c r="D102" i="44"/>
  <c r="F102" i="44" s="1"/>
  <c r="C75" i="44"/>
  <c r="D73" i="44"/>
  <c r="F73" i="44" s="1"/>
  <c r="C90" i="44"/>
  <c r="D88" i="44"/>
  <c r="F88" i="44" s="1"/>
  <c r="I12" i="210" l="1"/>
  <c r="K8" i="210"/>
  <c r="L5" i="210" s="1"/>
  <c r="K12" i="210"/>
  <c r="D89" i="44"/>
  <c r="F89" i="44" s="1"/>
  <c r="C91" i="44"/>
  <c r="C76" i="44"/>
  <c r="D74" i="44"/>
  <c r="F74" i="44" s="1"/>
  <c r="F104" i="44"/>
  <c r="D103" i="44"/>
  <c r="F103" i="44" s="1"/>
  <c r="C63" i="44"/>
  <c r="D61" i="44"/>
  <c r="F61" i="44" s="1"/>
  <c r="L8" i="210" l="1"/>
  <c r="M5" i="210" s="1"/>
  <c r="L12" i="210"/>
  <c r="F63" i="44"/>
  <c r="D62" i="44"/>
  <c r="F62" i="44" s="1"/>
  <c r="F105" i="44"/>
  <c r="E105" i="44" s="1"/>
  <c r="E14" i="172" s="1"/>
  <c r="D75" i="44"/>
  <c r="F75" i="44" s="1"/>
  <c r="C77" i="44"/>
  <c r="F91" i="44"/>
  <c r="D90" i="44"/>
  <c r="F90" i="44" s="1"/>
  <c r="H14" i="172" l="1"/>
  <c r="I14" i="172"/>
  <c r="M8" i="210"/>
  <c r="N5" i="210" s="1"/>
  <c r="C14" i="172"/>
  <c r="F117" i="44"/>
  <c r="E15" i="44" s="1"/>
  <c r="F15" i="44" s="1"/>
  <c r="F92" i="44"/>
  <c r="E92" i="44" s="1"/>
  <c r="D76" i="44"/>
  <c r="F76" i="44" s="1"/>
  <c r="F77" i="44"/>
  <c r="F78" i="44" s="1"/>
  <c r="E78" i="44" s="1"/>
  <c r="F64" i="44"/>
  <c r="E64" i="44" s="1"/>
  <c r="M12" i="210" l="1"/>
  <c r="N8" i="210"/>
  <c r="F11" i="44"/>
  <c r="G12" i="44"/>
  <c r="G14" i="44" s="1"/>
  <c r="G16" i="44" s="1"/>
  <c r="E9" i="44"/>
  <c r="F9" i="44" s="1"/>
  <c r="A2" i="44"/>
  <c r="N12" i="210" l="1"/>
  <c r="O10" i="210"/>
  <c r="O12" i="210" s="1"/>
  <c r="Q12" i="210" s="1"/>
  <c r="A2" i="122"/>
  <c r="A2" i="172"/>
  <c r="E16" i="172"/>
  <c r="G12" i="172"/>
  <c r="F12" i="172"/>
  <c r="D12" i="172"/>
  <c r="H49" i="171"/>
  <c r="F72" i="171" s="1"/>
  <c r="H72" i="171" s="1"/>
  <c r="F95" i="171" s="1"/>
  <c r="H95" i="171" s="1"/>
  <c r="F50" i="171"/>
  <c r="H50" i="171" s="1"/>
  <c r="F73" i="171" s="1"/>
  <c r="F49" i="171"/>
  <c r="F48" i="171"/>
  <c r="H48" i="171" s="1"/>
  <c r="F71" i="171" s="1"/>
  <c r="H71" i="171" s="1"/>
  <c r="F94" i="171" s="1"/>
  <c r="H94" i="171" s="1"/>
  <c r="B50" i="171"/>
  <c r="E50" i="171" s="1"/>
  <c r="B73" i="171" s="1"/>
  <c r="G96" i="171" s="1"/>
  <c r="M78" i="176" s="1"/>
  <c r="B49" i="171"/>
  <c r="E49" i="171" s="1"/>
  <c r="B72" i="171" s="1"/>
  <c r="E72" i="171" s="1"/>
  <c r="B95" i="171" s="1"/>
  <c r="E95" i="171" s="1"/>
  <c r="B48" i="171"/>
  <c r="E48" i="171" s="1"/>
  <c r="B71" i="171" s="1"/>
  <c r="E71" i="171" s="1"/>
  <c r="B94" i="171" s="1"/>
  <c r="E94" i="171" s="1"/>
  <c r="F42" i="171"/>
  <c r="H42" i="171" s="1"/>
  <c r="F65" i="171" s="1"/>
  <c r="F34" i="171"/>
  <c r="E11" i="172"/>
  <c r="E50" i="75" s="1"/>
  <c r="B42" i="171"/>
  <c r="B44" i="171"/>
  <c r="E44" i="171" s="1"/>
  <c r="B67" i="171" s="1"/>
  <c r="G90" i="171" s="1"/>
  <c r="F43" i="171"/>
  <c r="H43" i="171" s="1"/>
  <c r="F66" i="171" s="1"/>
  <c r="F41" i="171"/>
  <c r="H41" i="171" s="1"/>
  <c r="F64" i="171" s="1"/>
  <c r="F38" i="171"/>
  <c r="H38" i="171" s="1"/>
  <c r="F61" i="171" s="1"/>
  <c r="F37" i="171"/>
  <c r="H37" i="171" s="1"/>
  <c r="F60" i="171" s="1"/>
  <c r="F36" i="171"/>
  <c r="H36" i="171" s="1"/>
  <c r="F59" i="171" s="1"/>
  <c r="B43" i="171"/>
  <c r="E43" i="171" s="1"/>
  <c r="B66" i="171" s="1"/>
  <c r="G89" i="171" s="1"/>
  <c r="B41" i="171"/>
  <c r="E41" i="171" s="1"/>
  <c r="B64" i="171" s="1"/>
  <c r="G87" i="171" s="1"/>
  <c r="B38" i="171"/>
  <c r="E38" i="171" s="1"/>
  <c r="B61" i="171" s="1"/>
  <c r="G84" i="171" s="1"/>
  <c r="B37" i="171"/>
  <c r="E37" i="171" s="1"/>
  <c r="B60" i="171" s="1"/>
  <c r="G83" i="171" s="1"/>
  <c r="B36" i="171"/>
  <c r="E36" i="171" s="1"/>
  <c r="B59" i="171" s="1"/>
  <c r="G82" i="171" s="1"/>
  <c r="F45" i="171"/>
  <c r="H45" i="171" s="1"/>
  <c r="F68" i="171" s="1"/>
  <c r="F44" i="171"/>
  <c r="H44" i="171" s="1"/>
  <c r="F67" i="171" s="1"/>
  <c r="F40" i="171"/>
  <c r="H40" i="171" s="1"/>
  <c r="F63" i="171" s="1"/>
  <c r="F39" i="171"/>
  <c r="H39" i="171" s="1"/>
  <c r="F62" i="171" s="1"/>
  <c r="D97" i="171"/>
  <c r="C97" i="171"/>
  <c r="D74" i="171"/>
  <c r="C74" i="171"/>
  <c r="G22" i="171"/>
  <c r="G26" i="171" s="1"/>
  <c r="F22" i="171"/>
  <c r="F26" i="171" s="1"/>
  <c r="D22" i="171"/>
  <c r="D26" i="171" s="1"/>
  <c r="C22" i="171"/>
  <c r="C26" i="171" s="1"/>
  <c r="B22" i="171"/>
  <c r="B26" i="171" s="1"/>
  <c r="G21" i="171"/>
  <c r="F21" i="171"/>
  <c r="D21" i="171"/>
  <c r="C21" i="171"/>
  <c r="B21" i="171"/>
  <c r="B45" i="171"/>
  <c r="E45" i="171" s="1"/>
  <c r="B68" i="171" s="1"/>
  <c r="G91" i="171" s="1"/>
  <c r="B46" i="171"/>
  <c r="B39" i="171"/>
  <c r="E39" i="171" s="1"/>
  <c r="B62" i="171" s="1"/>
  <c r="G85" i="171" s="1"/>
  <c r="B40" i="171"/>
  <c r="B35" i="171"/>
  <c r="A3" i="171"/>
  <c r="E44" i="62"/>
  <c r="D44" i="62"/>
  <c r="C44" i="62"/>
  <c r="A2" i="62"/>
  <c r="A2" i="34"/>
  <c r="A2" i="32"/>
  <c r="F30" i="32"/>
  <c r="L9" i="122" l="1"/>
  <c r="E56" i="176"/>
  <c r="M67" i="176"/>
  <c r="M71" i="176" s="1"/>
  <c r="E73" i="171"/>
  <c r="B96" i="171" s="1"/>
  <c r="E96" i="171" s="1"/>
  <c r="G73" i="171"/>
  <c r="H73" i="171" s="1"/>
  <c r="F96" i="171" s="1"/>
  <c r="H96" i="171" s="1"/>
  <c r="E64" i="171"/>
  <c r="B87" i="171" s="1"/>
  <c r="E87" i="171" s="1"/>
  <c r="G64" i="171"/>
  <c r="H64" i="171" s="1"/>
  <c r="F87" i="171" s="1"/>
  <c r="H87" i="171" s="1"/>
  <c r="E59" i="171"/>
  <c r="B82" i="171" s="1"/>
  <c r="E82" i="171" s="1"/>
  <c r="G59" i="171"/>
  <c r="H59" i="171" s="1"/>
  <c r="F82" i="171" s="1"/>
  <c r="H82" i="171" s="1"/>
  <c r="E60" i="171"/>
  <c r="B83" i="171" s="1"/>
  <c r="E83" i="171" s="1"/>
  <c r="G60" i="171"/>
  <c r="H60" i="171" s="1"/>
  <c r="F83" i="171" s="1"/>
  <c r="H83" i="171" s="1"/>
  <c r="E62" i="171"/>
  <c r="B85" i="171" s="1"/>
  <c r="E85" i="171" s="1"/>
  <c r="G62" i="171"/>
  <c r="H62" i="171" s="1"/>
  <c r="F85" i="171" s="1"/>
  <c r="H85" i="171" s="1"/>
  <c r="E67" i="171"/>
  <c r="B90" i="171" s="1"/>
  <c r="E90" i="171" s="1"/>
  <c r="G67" i="171"/>
  <c r="H67" i="171" s="1"/>
  <c r="F90" i="171" s="1"/>
  <c r="H90" i="171" s="1"/>
  <c r="E61" i="171"/>
  <c r="B84" i="171" s="1"/>
  <c r="E84" i="171" s="1"/>
  <c r="G61" i="171"/>
  <c r="H61" i="171" s="1"/>
  <c r="F84" i="171" s="1"/>
  <c r="H84" i="171" s="1"/>
  <c r="E68" i="171"/>
  <c r="B91" i="171" s="1"/>
  <c r="E91" i="171" s="1"/>
  <c r="G68" i="171"/>
  <c r="H68" i="171" s="1"/>
  <c r="F91" i="171" s="1"/>
  <c r="H91" i="171" s="1"/>
  <c r="E66" i="171"/>
  <c r="B89" i="171" s="1"/>
  <c r="E89" i="171" s="1"/>
  <c r="G66" i="171"/>
  <c r="H66" i="171" s="1"/>
  <c r="F89" i="171" s="1"/>
  <c r="H89" i="171" s="1"/>
  <c r="I10" i="172"/>
  <c r="H34" i="171"/>
  <c r="H10" i="172"/>
  <c r="K9" i="122"/>
  <c r="G11" i="114"/>
  <c r="H11" i="114"/>
  <c r="H22" i="171"/>
  <c r="H26" i="171" s="1"/>
  <c r="E21" i="171"/>
  <c r="E42" i="171"/>
  <c r="B65" i="171" s="1"/>
  <c r="G88" i="171" s="1"/>
  <c r="E35" i="171"/>
  <c r="B58" i="171" s="1"/>
  <c r="E40" i="171"/>
  <c r="B63" i="171" s="1"/>
  <c r="G86" i="171" s="1"/>
  <c r="E46" i="171"/>
  <c r="B69" i="171" s="1"/>
  <c r="G92" i="171" s="1"/>
  <c r="C47" i="171"/>
  <c r="F35" i="171"/>
  <c r="H35" i="171" s="1"/>
  <c r="E22" i="171"/>
  <c r="H21" i="171"/>
  <c r="B34" i="171"/>
  <c r="F46" i="171"/>
  <c r="C51" i="171" l="1"/>
  <c r="E39" i="75"/>
  <c r="E11" i="114"/>
  <c r="M74" i="176"/>
  <c r="M76" i="176" s="1"/>
  <c r="M72" i="176"/>
  <c r="G58" i="171"/>
  <c r="G81" i="171"/>
  <c r="E69" i="171"/>
  <c r="B92" i="171" s="1"/>
  <c r="E92" i="171" s="1"/>
  <c r="G69" i="171"/>
  <c r="E63" i="171"/>
  <c r="B86" i="171" s="1"/>
  <c r="E86" i="171" s="1"/>
  <c r="G63" i="171"/>
  <c r="H63" i="171" s="1"/>
  <c r="F86" i="171" s="1"/>
  <c r="H86" i="171" s="1"/>
  <c r="E65" i="171"/>
  <c r="B88" i="171" s="1"/>
  <c r="E88" i="171" s="1"/>
  <c r="G65" i="171"/>
  <c r="H65" i="171" s="1"/>
  <c r="F88" i="171" s="1"/>
  <c r="H88" i="171" s="1"/>
  <c r="F47" i="171"/>
  <c r="F51" i="171" s="1"/>
  <c r="F57" i="171"/>
  <c r="E26" i="171"/>
  <c r="E58" i="171"/>
  <c r="B81" i="171" s="1"/>
  <c r="F58" i="171"/>
  <c r="B47" i="171"/>
  <c r="B51" i="171" s="1"/>
  <c r="E34" i="171"/>
  <c r="E47" i="171" s="1"/>
  <c r="E51" i="171" s="1"/>
  <c r="H46" i="171"/>
  <c r="F69" i="171" s="1"/>
  <c r="H69" i="171" s="1"/>
  <c r="F92" i="171" s="1"/>
  <c r="H92" i="171" s="1"/>
  <c r="E62" i="174" l="1"/>
  <c r="F10" i="34"/>
  <c r="F70" i="171"/>
  <c r="H47" i="171"/>
  <c r="F74" i="171"/>
  <c r="H58" i="171"/>
  <c r="E81" i="171"/>
  <c r="E10" i="172"/>
  <c r="E49" i="75" s="1"/>
  <c r="H9" i="122"/>
  <c r="B57" i="171"/>
  <c r="G80" i="171" s="1"/>
  <c r="G93" i="171" s="1"/>
  <c r="C10" i="172"/>
  <c r="C12" i="172" s="1"/>
  <c r="A2" i="65"/>
  <c r="J10" i="167"/>
  <c r="I10" i="167"/>
  <c r="J9" i="167"/>
  <c r="I9" i="167"/>
  <c r="A3" i="167"/>
  <c r="A2" i="202"/>
  <c r="I22" i="202"/>
  <c r="J22" i="202" s="1"/>
  <c r="H22" i="202"/>
  <c r="F22" i="202"/>
  <c r="E22" i="202"/>
  <c r="D22" i="202"/>
  <c r="C22" i="202"/>
  <c r="H21" i="202"/>
  <c r="F21" i="202"/>
  <c r="E21" i="202"/>
  <c r="D21" i="202"/>
  <c r="C21" i="202"/>
  <c r="B21" i="202"/>
  <c r="H21" i="201"/>
  <c r="F21" i="201"/>
  <c r="E21" i="201"/>
  <c r="D21" i="201"/>
  <c r="C21" i="201"/>
  <c r="B21" i="201"/>
  <c r="A2" i="201"/>
  <c r="M77" i="176" l="1"/>
  <c r="G97" i="171"/>
  <c r="H51" i="171"/>
  <c r="D9" i="74"/>
  <c r="I9" i="122"/>
  <c r="E51" i="75"/>
  <c r="E64" i="174"/>
  <c r="H62" i="175"/>
  <c r="I62" i="175" s="1"/>
  <c r="B70" i="171"/>
  <c r="G57" i="171"/>
  <c r="E57" i="171"/>
  <c r="E70" i="171" s="1"/>
  <c r="B74" i="171"/>
  <c r="C13" i="172"/>
  <c r="E8" i="172"/>
  <c r="E12" i="172" s="1"/>
  <c r="F81" i="171"/>
  <c r="I8" i="122"/>
  <c r="H8" i="122"/>
  <c r="A2" i="203"/>
  <c r="A2" i="115"/>
  <c r="A2" i="114"/>
  <c r="A2" i="126"/>
  <c r="A2" i="111"/>
  <c r="A2" i="107"/>
  <c r="A2" i="187"/>
  <c r="A2" i="159"/>
  <c r="L16" i="208"/>
  <c r="A2" i="208"/>
  <c r="A2" i="164"/>
  <c r="A2" i="207"/>
  <c r="F51" i="207"/>
  <c r="E51" i="207"/>
  <c r="D51" i="207"/>
  <c r="F41" i="207"/>
  <c r="E41" i="207"/>
  <c r="E30" i="207"/>
  <c r="F30" i="207"/>
  <c r="D30" i="207"/>
  <c r="F14" i="207"/>
  <c r="E14" i="207"/>
  <c r="D14" i="207"/>
  <c r="I11" i="172" l="1"/>
  <c r="E24" i="176"/>
  <c r="E61" i="175"/>
  <c r="H64" i="175"/>
  <c r="D49" i="74"/>
  <c r="E13" i="172"/>
  <c r="G70" i="171"/>
  <c r="H57" i="171"/>
  <c r="H8" i="172"/>
  <c r="H81" i="171"/>
  <c r="E74" i="171"/>
  <c r="B80" i="171"/>
  <c r="B93" i="171" s="1"/>
  <c r="A2" i="162"/>
  <c r="A2" i="194"/>
  <c r="A2" i="185"/>
  <c r="A2" i="188"/>
  <c r="EC109" i="185"/>
  <c r="DS109" i="185"/>
  <c r="DI109" i="185"/>
  <c r="CY109" i="185"/>
  <c r="CO109" i="185"/>
  <c r="CE109" i="185"/>
  <c r="BU109" i="185"/>
  <c r="BK109" i="185"/>
  <c r="BA109" i="185"/>
  <c r="AQ109" i="185"/>
  <c r="AG109" i="185"/>
  <c r="EC99" i="185"/>
  <c r="CT113" i="185"/>
  <c r="CI99" i="185"/>
  <c r="BU99" i="185"/>
  <c r="AM99" i="185"/>
  <c r="AQ99" i="185"/>
  <c r="AP99" i="185" s="1"/>
  <c r="EC97" i="185"/>
  <c r="EB97" i="185" s="1"/>
  <c r="DS97" i="185"/>
  <c r="DI97" i="185"/>
  <c r="BZ113" i="185"/>
  <c r="BK97" i="185"/>
  <c r="BA97" i="185"/>
  <c r="DX113" i="185"/>
  <c r="DP113" i="185"/>
  <c r="CY96" i="185"/>
  <c r="CE95" i="185"/>
  <c r="DO97" i="185"/>
  <c r="DE99" i="185"/>
  <c r="BY99" i="185"/>
  <c r="BG99" i="185"/>
  <c r="AW95" i="185"/>
  <c r="AM95" i="185"/>
  <c r="DW97" i="185"/>
  <c r="CE96" i="185"/>
  <c r="CD96" i="185" s="1"/>
  <c r="W100" i="185"/>
  <c r="W97" i="185"/>
  <c r="Q97" i="185"/>
  <c r="B99" i="185"/>
  <c r="B97" i="185"/>
  <c r="H96" i="185"/>
  <c r="H95" i="185"/>
  <c r="G96" i="185"/>
  <c r="G95" i="185"/>
  <c r="F96" i="185"/>
  <c r="F95" i="185"/>
  <c r="D96" i="185"/>
  <c r="D95" i="185"/>
  <c r="C96" i="185"/>
  <c r="C95" i="185"/>
  <c r="B96" i="185"/>
  <c r="B95" i="185"/>
  <c r="M223" i="102"/>
  <c r="L223" i="102"/>
  <c r="K223" i="102"/>
  <c r="J223" i="102"/>
  <c r="O218" i="102"/>
  <c r="G74" i="171" l="1"/>
  <c r="J94" i="175"/>
  <c r="L77" i="176" s="1"/>
  <c r="I61" i="175"/>
  <c r="E64" i="175"/>
  <c r="I28" i="2"/>
  <c r="K48" i="173" s="1"/>
  <c r="F80" i="171"/>
  <c r="F93" i="171" s="1"/>
  <c r="H70" i="171"/>
  <c r="H74" i="171" s="1"/>
  <c r="BE95" i="185"/>
  <c r="DC96" i="185"/>
  <c r="BY97" i="185"/>
  <c r="CS97" i="185"/>
  <c r="EC96" i="185"/>
  <c r="EB96" i="185" s="1"/>
  <c r="CZ113" i="185"/>
  <c r="C133" i="185" s="1"/>
  <c r="CX96" i="185"/>
  <c r="CA99" i="185"/>
  <c r="CL113" i="185"/>
  <c r="DZ113" i="185"/>
  <c r="DT113" i="185"/>
  <c r="C135" i="185" s="1"/>
  <c r="DY97" i="185"/>
  <c r="CJ113" i="185"/>
  <c r="CU99" i="185"/>
  <c r="CF113" i="185"/>
  <c r="C131" i="185" s="1"/>
  <c r="CE97" i="185"/>
  <c r="CD97" i="185" s="1"/>
  <c r="CE99" i="185"/>
  <c r="CD99" i="185" s="1"/>
  <c r="BG95" i="185"/>
  <c r="CO99" i="185"/>
  <c r="CN99" i="185" s="1"/>
  <c r="CB113" i="185"/>
  <c r="DI96" i="185"/>
  <c r="DH96" i="185" s="1"/>
  <c r="BB113" i="185"/>
  <c r="C128" i="185" s="1"/>
  <c r="CK97" i="185"/>
  <c r="DJ113" i="185"/>
  <c r="C134" i="185" s="1"/>
  <c r="BO95" i="185"/>
  <c r="V97" i="185"/>
  <c r="BU95" i="185"/>
  <c r="BT95" i="185" s="1"/>
  <c r="DC99" i="185"/>
  <c r="DW96" i="185"/>
  <c r="S95" i="185"/>
  <c r="BY95" i="185"/>
  <c r="BE99" i="185"/>
  <c r="AU99" i="185"/>
  <c r="CI97" i="185"/>
  <c r="BV113" i="185"/>
  <c r="C130" i="185" s="1"/>
  <c r="CO97" i="185"/>
  <c r="CN97" i="185" s="1"/>
  <c r="AG97" i="185"/>
  <c r="AF97" i="185" s="1"/>
  <c r="CV113" i="185"/>
  <c r="DI99" i="185"/>
  <c r="DH99" i="185" s="1"/>
  <c r="EE96" i="185"/>
  <c r="I11" i="208" s="1"/>
  <c r="DH97" i="185"/>
  <c r="BK99" i="185"/>
  <c r="BJ99" i="185" s="1"/>
  <c r="DM99" i="185"/>
  <c r="EE95" i="185"/>
  <c r="CS99" i="185"/>
  <c r="AW97" i="185"/>
  <c r="DE97" i="185"/>
  <c r="DO99" i="185"/>
  <c r="AK99" i="185"/>
  <c r="CY99" i="185"/>
  <c r="CX99" i="185" s="1"/>
  <c r="EK95" i="185"/>
  <c r="BJ97" i="185"/>
  <c r="DR97" i="185"/>
  <c r="BT99" i="185"/>
  <c r="EB99" i="185"/>
  <c r="BQ95" i="185"/>
  <c r="BG97" i="185"/>
  <c r="BR113" i="185"/>
  <c r="DY99" i="185"/>
  <c r="CA95" i="185"/>
  <c r="AU95" i="185"/>
  <c r="DN113" i="185"/>
  <c r="CD95" i="185"/>
  <c r="BL113" i="185"/>
  <c r="C129" i="185" s="1"/>
  <c r="BF113" i="185"/>
  <c r="DO96" i="185"/>
  <c r="AA97" i="185"/>
  <c r="AW99" i="185"/>
  <c r="BH113" i="185"/>
  <c r="E80" i="171"/>
  <c r="E93" i="171" s="1"/>
  <c r="B97" i="171"/>
  <c r="CU97" i="185"/>
  <c r="CY97" i="185"/>
  <c r="CX97" i="185" s="1"/>
  <c r="AC95" i="185"/>
  <c r="AZ97" i="185"/>
  <c r="AR113" i="185"/>
  <c r="C127" i="185" s="1"/>
  <c r="CP113" i="185"/>
  <c r="C132" i="185" s="1"/>
  <c r="AK95" i="185"/>
  <c r="BA95" i="185"/>
  <c r="AZ95" i="185" s="1"/>
  <c r="DW99" i="185"/>
  <c r="EI96" i="185"/>
  <c r="EE97" i="185"/>
  <c r="AN113" i="185"/>
  <c r="S97" i="185"/>
  <c r="AV113" i="185"/>
  <c r="CA97" i="185"/>
  <c r="DS96" i="185"/>
  <c r="DR96" i="185" s="1"/>
  <c r="DY96" i="185"/>
  <c r="EI99" i="185"/>
  <c r="EK97" i="185"/>
  <c r="EK109" i="185"/>
  <c r="EN109" i="185" s="1"/>
  <c r="BK95" i="185"/>
  <c r="BJ95" i="185" s="1"/>
  <c r="AX113" i="185"/>
  <c r="AQ95" i="185"/>
  <c r="AP95" i="185" s="1"/>
  <c r="BQ97" i="185"/>
  <c r="EK96" i="185"/>
  <c r="K11" i="208" s="1"/>
  <c r="W109" i="185"/>
  <c r="BO99" i="185"/>
  <c r="DD113" i="185"/>
  <c r="BQ99" i="185"/>
  <c r="CK99" i="185"/>
  <c r="DE96" i="185"/>
  <c r="CS96" i="185"/>
  <c r="BA99" i="185"/>
  <c r="AZ99" i="185" s="1"/>
  <c r="AD113" i="185"/>
  <c r="DM96" i="185"/>
  <c r="AU97" i="185"/>
  <c r="AG99" i="185"/>
  <c r="DF113" i="185"/>
  <c r="AM97" i="185"/>
  <c r="DS99" i="185"/>
  <c r="DR99" i="185" s="1"/>
  <c r="BE97" i="185"/>
  <c r="DC97" i="185"/>
  <c r="BO97" i="185"/>
  <c r="BP113" i="185"/>
  <c r="BU97" i="185"/>
  <c r="BT97" i="185" s="1"/>
  <c r="DM97" i="185"/>
  <c r="CU96" i="185"/>
  <c r="AH113" i="185"/>
  <c r="C126" i="185" s="1"/>
  <c r="EC113" i="185"/>
  <c r="AC97" i="185"/>
  <c r="A2" i="102"/>
  <c r="W51" i="212"/>
  <c r="U51" i="212"/>
  <c r="T51" i="212"/>
  <c r="S51" i="212"/>
  <c r="R51" i="212"/>
  <c r="Q51" i="212"/>
  <c r="P51" i="212"/>
  <c r="O51" i="212"/>
  <c r="N51" i="212"/>
  <c r="L38" i="212" a="1"/>
  <c r="L38" i="212" s="1"/>
  <c r="J38" i="212" a="1"/>
  <c r="J38" i="212" s="1"/>
  <c r="AD38" i="212" s="1"/>
  <c r="J24" i="212" a="1"/>
  <c r="J24" i="212" s="1"/>
  <c r="AD24" i="212" s="1"/>
  <c r="J10" i="212" a="1"/>
  <c r="J10" i="212" s="1"/>
  <c r="AD10" i="212" s="1"/>
  <c r="I38" i="212" a="1"/>
  <c r="I38" i="212" s="1"/>
  <c r="AC38" i="212" s="1"/>
  <c r="H38" i="212" a="1"/>
  <c r="H38" i="212" s="1"/>
  <c r="AB38" i="212" s="1"/>
  <c r="H24" i="212" a="1"/>
  <c r="H24" i="212" s="1"/>
  <c r="AB24" i="212" s="1"/>
  <c r="F48" i="173" l="1"/>
  <c r="E48" i="173"/>
  <c r="G48" i="173" s="1"/>
  <c r="E55" i="176"/>
  <c r="E58" i="176" s="1"/>
  <c r="I64" i="175"/>
  <c r="L11" i="208"/>
  <c r="H11" i="172"/>
  <c r="H12" i="172" s="1"/>
  <c r="J95" i="175"/>
  <c r="L78" i="176" s="1"/>
  <c r="E28" i="175"/>
  <c r="H80" i="171"/>
  <c r="F97" i="171"/>
  <c r="DC113" i="185"/>
  <c r="CK113" i="185"/>
  <c r="AW113" i="185"/>
  <c r="DY113" i="185"/>
  <c r="DE113" i="185"/>
  <c r="AU113" i="185"/>
  <c r="DM113" i="185"/>
  <c r="EJ95" i="185"/>
  <c r="CU113" i="185"/>
  <c r="DW113" i="185"/>
  <c r="BG113" i="185"/>
  <c r="BQ113" i="185"/>
  <c r="EJ97" i="185"/>
  <c r="EH96" i="185"/>
  <c r="BY113" i="185"/>
  <c r="CE113" i="185"/>
  <c r="D130" i="185" s="1"/>
  <c r="CA113" i="185"/>
  <c r="BK113" i="185"/>
  <c r="BJ113" i="185" s="1"/>
  <c r="DS113" i="185"/>
  <c r="DR113" i="185" s="1"/>
  <c r="EJ96" i="185"/>
  <c r="CI113" i="185"/>
  <c r="DO113" i="185"/>
  <c r="BO113" i="185"/>
  <c r="BE113" i="185"/>
  <c r="CS113" i="185"/>
  <c r="DI113" i="185"/>
  <c r="DH113" i="185" s="1"/>
  <c r="CO113" i="185"/>
  <c r="D131" i="185" s="1"/>
  <c r="EN96" i="185"/>
  <c r="EM96" i="185" s="1"/>
  <c r="BA113" i="185"/>
  <c r="AZ113" i="185" s="1"/>
  <c r="AM113" i="185"/>
  <c r="E97" i="171"/>
  <c r="CY113" i="185"/>
  <c r="CX113" i="185" s="1"/>
  <c r="EB113" i="185"/>
  <c r="D135" i="185"/>
  <c r="BU113" i="185"/>
  <c r="L44" i="212"/>
  <c r="L40" i="212"/>
  <c r="L49" i="212"/>
  <c r="L47" i="212"/>
  <c r="L45" i="212"/>
  <c r="L42" i="212"/>
  <c r="L39" i="212"/>
  <c r="L48" i="212"/>
  <c r="L46" i="212"/>
  <c r="L43" i="212"/>
  <c r="L41" i="212"/>
  <c r="J49" i="212"/>
  <c r="AD49" i="212" s="1"/>
  <c r="J46" i="212"/>
  <c r="AD46" i="212" s="1"/>
  <c r="J45" i="212"/>
  <c r="J43" i="212"/>
  <c r="AD43" i="212" s="1"/>
  <c r="J40" i="212"/>
  <c r="AD40" i="212" s="1"/>
  <c r="J39" i="212"/>
  <c r="AD39" i="212" s="1"/>
  <c r="J48" i="212"/>
  <c r="AD48" i="212" s="1"/>
  <c r="J47" i="212"/>
  <c r="AD47" i="212" s="1"/>
  <c r="J44" i="212"/>
  <c r="AD44" i="212" s="1"/>
  <c r="J42" i="212"/>
  <c r="AD42" i="212" s="1"/>
  <c r="J41" i="212"/>
  <c r="AD41" i="212" s="1"/>
  <c r="J29" i="212"/>
  <c r="AD29" i="212" s="1"/>
  <c r="J27" i="212"/>
  <c r="AD27" i="212" s="1"/>
  <c r="J26" i="212"/>
  <c r="AD26" i="212" s="1"/>
  <c r="J35" i="212"/>
  <c r="AD35" i="212" s="1"/>
  <c r="J33" i="212"/>
  <c r="AD33" i="212" s="1"/>
  <c r="J31" i="212"/>
  <c r="AD31" i="212" s="1"/>
  <c r="J25" i="212"/>
  <c r="AD25" i="212" s="1"/>
  <c r="J34" i="212"/>
  <c r="AD34" i="212" s="1"/>
  <c r="J32" i="212"/>
  <c r="AD32" i="212" s="1"/>
  <c r="J30" i="212"/>
  <c r="AD30" i="212" s="1"/>
  <c r="J28" i="212"/>
  <c r="AD28" i="212" s="1"/>
  <c r="J14" i="212"/>
  <c r="AD14" i="212" s="1"/>
  <c r="J13" i="212"/>
  <c r="AD13" i="212" s="1"/>
  <c r="J12" i="212"/>
  <c r="AD12" i="212" s="1"/>
  <c r="J11" i="212"/>
  <c r="AD11" i="212" s="1"/>
  <c r="J21" i="212"/>
  <c r="AD21" i="212" s="1"/>
  <c r="J20" i="212"/>
  <c r="AD20" i="212" s="1"/>
  <c r="J19" i="212"/>
  <c r="AD19" i="212" s="1"/>
  <c r="J18" i="212"/>
  <c r="AD18" i="212" s="1"/>
  <c r="J17" i="212"/>
  <c r="AD17" i="212" s="1"/>
  <c r="J16" i="212"/>
  <c r="AD16" i="212" s="1"/>
  <c r="J15" i="212"/>
  <c r="AD15" i="212" s="1"/>
  <c r="I46" i="212"/>
  <c r="AC46" i="212" s="1"/>
  <c r="I45" i="212"/>
  <c r="AC45" i="212" s="1"/>
  <c r="I42" i="212"/>
  <c r="AC42" i="212" s="1"/>
  <c r="I40" i="212"/>
  <c r="AC40" i="212" s="1"/>
  <c r="I39" i="212"/>
  <c r="AC39" i="212" s="1"/>
  <c r="I49" i="212"/>
  <c r="AC49" i="212" s="1"/>
  <c r="I48" i="212"/>
  <c r="AC48" i="212" s="1"/>
  <c r="I47" i="212"/>
  <c r="AC47" i="212" s="1"/>
  <c r="I44" i="212"/>
  <c r="AC44" i="212" s="1"/>
  <c r="I43" i="212"/>
  <c r="AC43" i="212" s="1"/>
  <c r="I41" i="212"/>
  <c r="AC41" i="212" s="1"/>
  <c r="H40" i="212"/>
  <c r="AB40" i="212" s="1"/>
  <c r="H49" i="212"/>
  <c r="AB49" i="212" s="1"/>
  <c r="H48" i="212"/>
  <c r="AB48" i="212" s="1"/>
  <c r="H44" i="212"/>
  <c r="AB44" i="212" s="1"/>
  <c r="H43" i="212"/>
  <c r="AB43" i="212" s="1"/>
  <c r="H42" i="212"/>
  <c r="AB42" i="212" s="1"/>
  <c r="H41" i="212"/>
  <c r="AB41" i="212" s="1"/>
  <c r="H39" i="212"/>
  <c r="AB39" i="212" s="1"/>
  <c r="H47" i="212"/>
  <c r="AB47" i="212" s="1"/>
  <c r="H46" i="212"/>
  <c r="AB46" i="212" s="1"/>
  <c r="H45" i="212"/>
  <c r="AB45" i="212" s="1"/>
  <c r="H35" i="212"/>
  <c r="AB35" i="212" s="1"/>
  <c r="H34" i="212"/>
  <c r="AB34" i="212" s="1"/>
  <c r="H32" i="212"/>
  <c r="AB32" i="212" s="1"/>
  <c r="H30" i="212"/>
  <c r="AB30" i="212" s="1"/>
  <c r="H28" i="212"/>
  <c r="AB28" i="212" s="1"/>
  <c r="H26" i="212"/>
  <c r="AB26" i="212" s="1"/>
  <c r="H25" i="212"/>
  <c r="AB25" i="212" s="1"/>
  <c r="H33" i="212"/>
  <c r="AB33" i="212" s="1"/>
  <c r="H31" i="212"/>
  <c r="AB31" i="212" s="1"/>
  <c r="H29" i="212"/>
  <c r="AB29" i="212" s="1"/>
  <c r="H27" i="212"/>
  <c r="AB27" i="212" s="1"/>
  <c r="H10" i="212" a="1"/>
  <c r="H10" i="212" s="1"/>
  <c r="AB10" i="212" s="1"/>
  <c r="G38" i="212" a="1"/>
  <c r="G38" i="212" s="1"/>
  <c r="E38" i="212" a="1"/>
  <c r="E38" i="212" s="1"/>
  <c r="Y38" i="212" s="1"/>
  <c r="E24" i="212" a="1"/>
  <c r="E25" i="212" s="1"/>
  <c r="Y25" i="212" s="1"/>
  <c r="E10" i="212" a="1"/>
  <c r="E10" i="212" s="1"/>
  <c r="Y10" i="212" s="1"/>
  <c r="F38" i="212" a="1"/>
  <c r="F49" i="212" s="1"/>
  <c r="Z49" i="212" s="1"/>
  <c r="F24" i="212" a="1"/>
  <c r="F24" i="212" s="1"/>
  <c r="Z24" i="212" s="1"/>
  <c r="F10" i="212" a="1"/>
  <c r="F10" i="212" s="1"/>
  <c r="Z10" i="212" s="1"/>
  <c r="D38" i="212" a="1"/>
  <c r="D38" i="212" s="1"/>
  <c r="X38" i="212" s="1"/>
  <c r="D24" i="212" a="1"/>
  <c r="D25" i="212" s="1"/>
  <c r="X25" i="212" s="1"/>
  <c r="D10" i="212" a="1"/>
  <c r="D11" i="212" s="1"/>
  <c r="X11" i="212" s="1"/>
  <c r="C37" i="212"/>
  <c r="C23" i="212"/>
  <c r="C9" i="212"/>
  <c r="A2" i="212"/>
  <c r="A2" i="183"/>
  <c r="AB107" i="180"/>
  <c r="Z107" i="180"/>
  <c r="X107" i="180"/>
  <c r="V107" i="180"/>
  <c r="AC127" i="180"/>
  <c r="AA127" i="180"/>
  <c r="Y127" i="180"/>
  <c r="W127" i="180"/>
  <c r="AC126" i="180"/>
  <c r="AA126" i="180"/>
  <c r="Y126" i="180"/>
  <c r="W126" i="180"/>
  <c r="X110" i="180"/>
  <c r="Y110" i="180" s="1"/>
  <c r="V110" i="180"/>
  <c r="W110" i="180" s="1"/>
  <c r="AB110" i="180"/>
  <c r="AA107" i="180"/>
  <c r="Y107" i="180"/>
  <c r="W107" i="180"/>
  <c r="T107" i="180"/>
  <c r="U127" i="180"/>
  <c r="U126" i="180"/>
  <c r="S127" i="180"/>
  <c r="S126" i="180"/>
  <c r="Q127" i="180"/>
  <c r="Q126" i="180"/>
  <c r="O127" i="180"/>
  <c r="O126" i="180"/>
  <c r="O107" i="180"/>
  <c r="M110" i="180"/>
  <c r="R107" i="180"/>
  <c r="R110" i="180"/>
  <c r="P107" i="180"/>
  <c r="P110" i="180"/>
  <c r="N107" i="180"/>
  <c r="N110" i="180" s="1"/>
  <c r="F107" i="180"/>
  <c r="F110" i="180" s="1"/>
  <c r="O110" i="180" s="1"/>
  <c r="M149" i="180"/>
  <c r="K149" i="180"/>
  <c r="I149" i="180"/>
  <c r="G149" i="180"/>
  <c r="M128" i="180"/>
  <c r="K128" i="180"/>
  <c r="I128" i="180"/>
  <c r="G128" i="180"/>
  <c r="T110" i="180"/>
  <c r="K110" i="180"/>
  <c r="I110" i="180"/>
  <c r="G110" i="180"/>
  <c r="E176" i="180"/>
  <c r="D176" i="180"/>
  <c r="C176" i="180"/>
  <c r="I176" i="180" l="1"/>
  <c r="K176" i="180"/>
  <c r="G176" i="180"/>
  <c r="I8" i="172"/>
  <c r="I12" i="172" s="1"/>
  <c r="I13" i="172" s="1"/>
  <c r="H13" i="172"/>
  <c r="H24" i="176"/>
  <c r="I24" i="176" s="1"/>
  <c r="H28" i="2"/>
  <c r="K15" i="173" s="1"/>
  <c r="I28" i="175"/>
  <c r="H93" i="171"/>
  <c r="H97" i="171" s="1"/>
  <c r="CN113" i="185"/>
  <c r="CD113" i="185"/>
  <c r="D128" i="185"/>
  <c r="D132" i="185"/>
  <c r="D133" i="185"/>
  <c r="D134" i="185"/>
  <c r="AB37" i="212"/>
  <c r="D10" i="212"/>
  <c r="X10" i="212" s="1"/>
  <c r="G48" i="212"/>
  <c r="AA48" i="212" s="1"/>
  <c r="M38" i="212"/>
  <c r="AA38" i="212"/>
  <c r="AE9" i="212"/>
  <c r="AD23" i="212"/>
  <c r="AE23" i="212"/>
  <c r="J37" i="212"/>
  <c r="AD45" i="212"/>
  <c r="AD37" i="212" s="1"/>
  <c r="H18" i="212"/>
  <c r="AB18" i="212" s="1"/>
  <c r="H20" i="212"/>
  <c r="AB20" i="212" s="1"/>
  <c r="H19" i="212"/>
  <c r="AB19" i="212" s="1"/>
  <c r="D127" i="185"/>
  <c r="EO96" i="185"/>
  <c r="BT113" i="185"/>
  <c r="D129" i="185"/>
  <c r="AD9" i="212"/>
  <c r="AB23" i="212"/>
  <c r="AC37" i="212"/>
  <c r="M48" i="212"/>
  <c r="J23" i="212"/>
  <c r="I37" i="212"/>
  <c r="F20" i="212"/>
  <c r="Z20" i="212" s="1"/>
  <c r="L23" i="212"/>
  <c r="H23" i="212"/>
  <c r="L9" i="212"/>
  <c r="J9" i="212"/>
  <c r="F21" i="212"/>
  <c r="Z21" i="212" s="1"/>
  <c r="G49" i="212"/>
  <c r="H37" i="212"/>
  <c r="E35" i="212"/>
  <c r="Y35" i="212" s="1"/>
  <c r="D35" i="212"/>
  <c r="X35" i="212" s="1"/>
  <c r="E34" i="212"/>
  <c r="Y34" i="212" s="1"/>
  <c r="D34" i="212"/>
  <c r="X34" i="212" s="1"/>
  <c r="E33" i="212"/>
  <c r="Y33" i="212" s="1"/>
  <c r="D21" i="212"/>
  <c r="X21" i="212" s="1"/>
  <c r="D33" i="212"/>
  <c r="X33" i="212" s="1"/>
  <c r="E32" i="212"/>
  <c r="Y32" i="212" s="1"/>
  <c r="D20" i="212"/>
  <c r="X20" i="212" s="1"/>
  <c r="D32" i="212"/>
  <c r="X32" i="212" s="1"/>
  <c r="E31" i="212"/>
  <c r="Y31" i="212" s="1"/>
  <c r="D19" i="212"/>
  <c r="X19" i="212" s="1"/>
  <c r="D31" i="212"/>
  <c r="X31" i="212" s="1"/>
  <c r="E30" i="212"/>
  <c r="Y30" i="212" s="1"/>
  <c r="D18" i="212"/>
  <c r="X18" i="212" s="1"/>
  <c r="D30" i="212"/>
  <c r="X30" i="212" s="1"/>
  <c r="E21" i="212"/>
  <c r="Y21" i="212" s="1"/>
  <c r="E29" i="212"/>
  <c r="Y29" i="212" s="1"/>
  <c r="D17" i="212"/>
  <c r="X17" i="212" s="1"/>
  <c r="D29" i="212"/>
  <c r="X29" i="212" s="1"/>
  <c r="E20" i="212"/>
  <c r="Y20" i="212" s="1"/>
  <c r="E28" i="212"/>
  <c r="Y28" i="212" s="1"/>
  <c r="D16" i="212"/>
  <c r="X16" i="212" s="1"/>
  <c r="D28" i="212"/>
  <c r="X28" i="212" s="1"/>
  <c r="E19" i="212"/>
  <c r="Y19" i="212" s="1"/>
  <c r="E27" i="212"/>
  <c r="Y27" i="212" s="1"/>
  <c r="D14" i="212"/>
  <c r="X14" i="212" s="1"/>
  <c r="D27" i="212"/>
  <c r="X27" i="212" s="1"/>
  <c r="E18" i="212"/>
  <c r="Y18" i="212" s="1"/>
  <c r="E26" i="212"/>
  <c r="Y26" i="212" s="1"/>
  <c r="D12" i="212"/>
  <c r="X12" i="212" s="1"/>
  <c r="D24" i="212"/>
  <c r="X24" i="212" s="1"/>
  <c r="E17" i="212"/>
  <c r="Y17" i="212" s="1"/>
  <c r="E24" i="212"/>
  <c r="Y24" i="212" s="1"/>
  <c r="H21" i="212"/>
  <c r="AB21" i="212" s="1"/>
  <c r="H17" i="212"/>
  <c r="AB17" i="212" s="1"/>
  <c r="H16" i="212"/>
  <c r="AB16" i="212" s="1"/>
  <c r="H15" i="212"/>
  <c r="AB15" i="212" s="1"/>
  <c r="H14" i="212"/>
  <c r="H13" i="212"/>
  <c r="AB13" i="212" s="1"/>
  <c r="H12" i="212"/>
  <c r="H11" i="212"/>
  <c r="AB11" i="212" s="1"/>
  <c r="G45" i="212"/>
  <c r="G42" i="212"/>
  <c r="G40" i="212"/>
  <c r="G47" i="212"/>
  <c r="G44" i="212"/>
  <c r="G41" i="212"/>
  <c r="G39" i="212"/>
  <c r="G46" i="212"/>
  <c r="G43" i="212"/>
  <c r="E48" i="212"/>
  <c r="Y48" i="212" s="1"/>
  <c r="E47" i="212"/>
  <c r="Y47" i="212" s="1"/>
  <c r="E43" i="212"/>
  <c r="Y43" i="212" s="1"/>
  <c r="E44" i="212"/>
  <c r="Y44" i="212" s="1"/>
  <c r="E42" i="212"/>
  <c r="Y42" i="212" s="1"/>
  <c r="E40" i="212"/>
  <c r="Y40" i="212" s="1"/>
  <c r="E39" i="212"/>
  <c r="Y39" i="212" s="1"/>
  <c r="E49" i="212"/>
  <c r="Y49" i="212" s="1"/>
  <c r="E46" i="212"/>
  <c r="Y46" i="212" s="1"/>
  <c r="E45" i="212"/>
  <c r="Y45" i="212" s="1"/>
  <c r="E41" i="212"/>
  <c r="Y41" i="212" s="1"/>
  <c r="E16" i="212"/>
  <c r="Y16" i="212" s="1"/>
  <c r="E15" i="212"/>
  <c r="Y15" i="212" s="1"/>
  <c r="E14" i="212"/>
  <c r="Y14" i="212" s="1"/>
  <c r="E13" i="212"/>
  <c r="Y13" i="212" s="1"/>
  <c r="E12" i="212"/>
  <c r="Y12" i="212" s="1"/>
  <c r="E11" i="212"/>
  <c r="Y11" i="212" s="1"/>
  <c r="F41" i="212"/>
  <c r="Z41" i="212" s="1"/>
  <c r="F45" i="212"/>
  <c r="Z45" i="212" s="1"/>
  <c r="F47" i="212"/>
  <c r="Z47" i="212" s="1"/>
  <c r="F48" i="212"/>
  <c r="Z48" i="212" s="1"/>
  <c r="F39" i="212"/>
  <c r="Z39" i="212" s="1"/>
  <c r="F40" i="212"/>
  <c r="Z40" i="212" s="1"/>
  <c r="F42" i="212"/>
  <c r="Z42" i="212" s="1"/>
  <c r="F43" i="212"/>
  <c r="Z43" i="212" s="1"/>
  <c r="F44" i="212"/>
  <c r="Z44" i="212" s="1"/>
  <c r="F46" i="212"/>
  <c r="Z46" i="212" s="1"/>
  <c r="F38" i="212"/>
  <c r="Z38" i="212" s="1"/>
  <c r="F30" i="212"/>
  <c r="Z30" i="212" s="1"/>
  <c r="F28" i="212"/>
  <c r="Z28" i="212" s="1"/>
  <c r="F27" i="212"/>
  <c r="Z27" i="212" s="1"/>
  <c r="F35" i="212"/>
  <c r="Z35" i="212" s="1"/>
  <c r="F32" i="212"/>
  <c r="Z32" i="212" s="1"/>
  <c r="F25" i="212"/>
  <c r="Z25" i="212" s="1"/>
  <c r="F34" i="212"/>
  <c r="Z34" i="212" s="1"/>
  <c r="F33" i="212"/>
  <c r="Z33" i="212" s="1"/>
  <c r="F31" i="212"/>
  <c r="Z31" i="212" s="1"/>
  <c r="F29" i="212"/>
  <c r="Z29" i="212" s="1"/>
  <c r="F26" i="212"/>
  <c r="Z26" i="212" s="1"/>
  <c r="F19" i="212"/>
  <c r="Z19" i="212" s="1"/>
  <c r="F18" i="212"/>
  <c r="Z18" i="212" s="1"/>
  <c r="F17" i="212"/>
  <c r="Z17" i="212" s="1"/>
  <c r="F16" i="212"/>
  <c r="Z16" i="212" s="1"/>
  <c r="F15" i="212"/>
  <c r="Z15" i="212" s="1"/>
  <c r="F14" i="212"/>
  <c r="Z14" i="212" s="1"/>
  <c r="F13" i="212"/>
  <c r="Z13" i="212" s="1"/>
  <c r="F12" i="212"/>
  <c r="Z12" i="212" s="1"/>
  <c r="F11" i="212"/>
  <c r="Z11" i="212" s="1"/>
  <c r="D46" i="212"/>
  <c r="X46" i="212" s="1"/>
  <c r="D44" i="212"/>
  <c r="X44" i="212" s="1"/>
  <c r="D42" i="212"/>
  <c r="X42" i="212" s="1"/>
  <c r="D41" i="212"/>
  <c r="X41" i="212" s="1"/>
  <c r="D40" i="212"/>
  <c r="X40" i="212" s="1"/>
  <c r="D49" i="212"/>
  <c r="X49" i="212" s="1"/>
  <c r="D43" i="212"/>
  <c r="X43" i="212" s="1"/>
  <c r="D39" i="212"/>
  <c r="X39" i="212" s="1"/>
  <c r="D48" i="212"/>
  <c r="X48" i="212" s="1"/>
  <c r="D47" i="212"/>
  <c r="X47" i="212" s="1"/>
  <c r="D45" i="212"/>
  <c r="X45" i="212" s="1"/>
  <c r="D26" i="212"/>
  <c r="X26" i="212" s="1"/>
  <c r="D15" i="212"/>
  <c r="X15" i="212" s="1"/>
  <c r="D13" i="212"/>
  <c r="X13" i="212" s="1"/>
  <c r="AC110" i="180"/>
  <c r="AC107" i="180"/>
  <c r="Z110" i="180"/>
  <c r="M176" i="180"/>
  <c r="B176" i="180"/>
  <c r="A2" i="180"/>
  <c r="E248" i="178"/>
  <c r="E247" i="178"/>
  <c r="E246" i="178"/>
  <c r="E245" i="178"/>
  <c r="E244" i="178"/>
  <c r="E243" i="178"/>
  <c r="E241" i="178"/>
  <c r="E240" i="178"/>
  <c r="E239" i="178"/>
  <c r="E238" i="178"/>
  <c r="H11" i="206"/>
  <c r="E218" i="178" s="1"/>
  <c r="G11" i="206"/>
  <c r="H10" i="206"/>
  <c r="E195" i="178" s="1"/>
  <c r="G10" i="206"/>
  <c r="E200" i="178" s="1"/>
  <c r="E157" i="178"/>
  <c r="E154" i="178"/>
  <c r="A2" i="178"/>
  <c r="AH11" i="92"/>
  <c r="AG11" i="92"/>
  <c r="AH10" i="92"/>
  <c r="AG10" i="92"/>
  <c r="L15" i="206"/>
  <c r="D12" i="206"/>
  <c r="E12" i="206"/>
  <c r="C12" i="206"/>
  <c r="B12" i="206"/>
  <c r="B11" i="206"/>
  <c r="B10" i="206"/>
  <c r="A2" i="206"/>
  <c r="AL16" i="92"/>
  <c r="AD12" i="92"/>
  <c r="AE12" i="92"/>
  <c r="AC12" i="92"/>
  <c r="Y16" i="92"/>
  <c r="Q12" i="92"/>
  <c r="R12" i="92"/>
  <c r="P12" i="92"/>
  <c r="AO12" i="92"/>
  <c r="AB12" i="92"/>
  <c r="L16" i="92"/>
  <c r="R17" i="215"/>
  <c r="R18" i="215"/>
  <c r="C12" i="92"/>
  <c r="A2" i="92"/>
  <c r="AG19" i="90"/>
  <c r="R12" i="215"/>
  <c r="R11" i="215"/>
  <c r="R6" i="215"/>
  <c r="R5" i="215"/>
  <c r="A2" i="90"/>
  <c r="A2" i="152"/>
  <c r="A2" i="176"/>
  <c r="A2" i="2"/>
  <c r="A2" i="175"/>
  <c r="A2" i="174"/>
  <c r="A2" i="77"/>
  <c r="Q120" i="215"/>
  <c r="P120" i="215"/>
  <c r="O120" i="215"/>
  <c r="N120" i="215"/>
  <c r="M120" i="215"/>
  <c r="L120" i="215"/>
  <c r="K120" i="215"/>
  <c r="J120" i="215"/>
  <c r="I120" i="215"/>
  <c r="H120" i="215"/>
  <c r="G120" i="215"/>
  <c r="F120" i="215"/>
  <c r="Q119" i="215"/>
  <c r="P119" i="215"/>
  <c r="O119" i="215"/>
  <c r="N119" i="215"/>
  <c r="M119" i="215"/>
  <c r="L119" i="215"/>
  <c r="K119" i="215"/>
  <c r="J119" i="215"/>
  <c r="I119" i="215"/>
  <c r="H119" i="215"/>
  <c r="G119" i="215"/>
  <c r="F119" i="215"/>
  <c r="Q113" i="215"/>
  <c r="Q118" i="215" s="1"/>
  <c r="Q117" i="215" s="1"/>
  <c r="P113" i="215"/>
  <c r="P118" i="215" s="1"/>
  <c r="P117" i="215" s="1"/>
  <c r="O113" i="215"/>
  <c r="O118" i="215" s="1"/>
  <c r="O117" i="215" s="1"/>
  <c r="N113" i="215"/>
  <c r="N118" i="215" s="1"/>
  <c r="N117" i="215" s="1"/>
  <c r="M113" i="215"/>
  <c r="M118" i="215" s="1"/>
  <c r="M117" i="215" s="1"/>
  <c r="L113" i="215"/>
  <c r="L118" i="215" s="1"/>
  <c r="L117" i="215" s="1"/>
  <c r="K113" i="215"/>
  <c r="K118" i="215" s="1"/>
  <c r="K117" i="215" s="1"/>
  <c r="J113" i="215"/>
  <c r="J118" i="215" s="1"/>
  <c r="J117" i="215" s="1"/>
  <c r="I113" i="215"/>
  <c r="I118" i="215" s="1"/>
  <c r="I117" i="215" s="1"/>
  <c r="H113" i="215"/>
  <c r="H118" i="215" s="1"/>
  <c r="H117" i="215" s="1"/>
  <c r="G113" i="215"/>
  <c r="G118" i="215" s="1"/>
  <c r="G117" i="215" s="1"/>
  <c r="F113" i="215"/>
  <c r="F118" i="215" s="1"/>
  <c r="F117" i="215" s="1"/>
  <c r="A20" i="215"/>
  <c r="Q93" i="215"/>
  <c r="R91" i="215"/>
  <c r="B90" i="215"/>
  <c r="B84" i="215"/>
  <c r="R73" i="215"/>
  <c r="B72" i="215"/>
  <c r="F69" i="215"/>
  <c r="R67" i="215"/>
  <c r="M12" i="92" s="1"/>
  <c r="B66" i="215"/>
  <c r="F57" i="215"/>
  <c r="R55" i="215"/>
  <c r="B54" i="215"/>
  <c r="L51" i="215"/>
  <c r="K51" i="215"/>
  <c r="J51" i="215"/>
  <c r="I51" i="215"/>
  <c r="H51" i="215"/>
  <c r="G51" i="215"/>
  <c r="F51" i="215"/>
  <c r="R49" i="215"/>
  <c r="N12" i="92" s="1"/>
  <c r="B48" i="215"/>
  <c r="R47" i="215"/>
  <c r="R43" i="215"/>
  <c r="B42" i="215"/>
  <c r="R37" i="215"/>
  <c r="J12" i="92" s="1"/>
  <c r="B36" i="215"/>
  <c r="R31" i="215"/>
  <c r="K12" i="92" s="1"/>
  <c r="B30" i="215"/>
  <c r="R25" i="215"/>
  <c r="Z13" i="90" s="1"/>
  <c r="B24" i="215"/>
  <c r="L27" i="215"/>
  <c r="L110" i="215" s="1"/>
  <c r="K27" i="215"/>
  <c r="K110" i="215" s="1"/>
  <c r="J27" i="215"/>
  <c r="J110" i="215" s="1"/>
  <c r="I27" i="215"/>
  <c r="I110" i="215" s="1"/>
  <c r="I112" i="215" s="1"/>
  <c r="I111" i="215" s="1"/>
  <c r="H27" i="215"/>
  <c r="H110" i="215" s="1"/>
  <c r="G27" i="215"/>
  <c r="G110" i="215" s="1"/>
  <c r="Q21" i="215"/>
  <c r="P21" i="215"/>
  <c r="O21" i="215"/>
  <c r="N21" i="215"/>
  <c r="M21" i="215"/>
  <c r="L21" i="215"/>
  <c r="K21" i="215"/>
  <c r="J21" i="215"/>
  <c r="I21" i="215"/>
  <c r="H21" i="215"/>
  <c r="G21" i="215"/>
  <c r="F21" i="215"/>
  <c r="R19" i="215"/>
  <c r="Y13" i="90" s="1"/>
  <c r="B18" i="215"/>
  <c r="Q15" i="215"/>
  <c r="P15" i="215"/>
  <c r="O15" i="215"/>
  <c r="N15" i="215"/>
  <c r="M15" i="215"/>
  <c r="L15" i="215"/>
  <c r="K15" i="215"/>
  <c r="J15" i="215"/>
  <c r="I15" i="215"/>
  <c r="H15" i="215"/>
  <c r="G15" i="215"/>
  <c r="F15" i="215"/>
  <c r="R13" i="215"/>
  <c r="B12" i="215"/>
  <c r="Q9" i="215"/>
  <c r="P9" i="215"/>
  <c r="M9" i="215"/>
  <c r="L9" i="215"/>
  <c r="K9" i="215"/>
  <c r="J9" i="215"/>
  <c r="I9" i="215"/>
  <c r="H9" i="215"/>
  <c r="G9" i="215"/>
  <c r="F9" i="215"/>
  <c r="R7" i="215"/>
  <c r="B6" i="215"/>
  <c r="A2" i="75"/>
  <c r="E15" i="173" l="1"/>
  <c r="F15" i="173"/>
  <c r="AE51" i="212"/>
  <c r="Z37" i="212"/>
  <c r="J107" i="180"/>
  <c r="D12" i="92"/>
  <c r="M46" i="212"/>
  <c r="AA46" i="212"/>
  <c r="Z9" i="212"/>
  <c r="M44" i="212"/>
  <c r="AA44" i="212"/>
  <c r="Z23" i="212"/>
  <c r="Z51" i="212" s="1"/>
  <c r="M47" i="212"/>
  <c r="AA47" i="212"/>
  <c r="M40" i="212"/>
  <c r="AA40" i="212"/>
  <c r="N121" i="215"/>
  <c r="Y51" i="212"/>
  <c r="M42" i="212"/>
  <c r="AA42" i="212"/>
  <c r="E12" i="92"/>
  <c r="H107" i="180"/>
  <c r="M43" i="212"/>
  <c r="AA43" i="212"/>
  <c r="M39" i="212"/>
  <c r="AA39" i="212"/>
  <c r="M41" i="212"/>
  <c r="AA41" i="212"/>
  <c r="M45" i="212"/>
  <c r="AA45" i="212"/>
  <c r="M49" i="212"/>
  <c r="AA49" i="212"/>
  <c r="J51" i="212"/>
  <c r="X51" i="212"/>
  <c r="AB12" i="212"/>
  <c r="AB14" i="212"/>
  <c r="AB9" i="212"/>
  <c r="AB51" i="212" s="1"/>
  <c r="E219" i="178"/>
  <c r="AD51" i="212"/>
  <c r="H9" i="212"/>
  <c r="H51" i="212" s="1"/>
  <c r="F9" i="212"/>
  <c r="L51" i="212"/>
  <c r="D51" i="212"/>
  <c r="E51" i="212"/>
  <c r="F37" i="212"/>
  <c r="G37" i="212"/>
  <c r="F23" i="212"/>
  <c r="AA110" i="180"/>
  <c r="O12" i="92"/>
  <c r="L107" i="180" s="1"/>
  <c r="L121" i="215"/>
  <c r="L122" i="215" s="1"/>
  <c r="L123" i="215" s="1"/>
  <c r="M121" i="215"/>
  <c r="G112" i="215"/>
  <c r="G111" i="215" s="1"/>
  <c r="M122" i="215"/>
  <c r="M123" i="215" s="1"/>
  <c r="N122" i="215"/>
  <c r="N123" i="215" s="1"/>
  <c r="R119" i="215"/>
  <c r="O121" i="215"/>
  <c r="O122" i="215" s="1"/>
  <c r="O123" i="215" s="1"/>
  <c r="P121" i="215"/>
  <c r="P122" i="215" s="1"/>
  <c r="P123" i="215" s="1"/>
  <c r="J112" i="215"/>
  <c r="J111" i="215" s="1"/>
  <c r="K112" i="215"/>
  <c r="K111" i="215" s="1"/>
  <c r="H121" i="215"/>
  <c r="H122" i="215" s="1"/>
  <c r="H123" i="215" s="1"/>
  <c r="G121" i="215"/>
  <c r="G122" i="215" s="1"/>
  <c r="G123" i="215" s="1"/>
  <c r="H112" i="215"/>
  <c r="H111" i="215" s="1"/>
  <c r="Q121" i="215"/>
  <c r="Q122" i="215" s="1"/>
  <c r="Q123" i="215" s="1"/>
  <c r="L112" i="215"/>
  <c r="L111" i="215" s="1"/>
  <c r="I121" i="215"/>
  <c r="I122" i="215" s="1"/>
  <c r="I123" i="215" s="1"/>
  <c r="R120" i="215"/>
  <c r="J121" i="215"/>
  <c r="J122" i="215" s="1"/>
  <c r="J123" i="215" s="1"/>
  <c r="R113" i="215"/>
  <c r="K121" i="215"/>
  <c r="K122" i="215" s="1"/>
  <c r="K123" i="215" s="1"/>
  <c r="H45" i="215"/>
  <c r="F29" i="215"/>
  <c r="F83" i="215" s="1"/>
  <c r="G29" i="215"/>
  <c r="O75" i="215"/>
  <c r="P75" i="215"/>
  <c r="Q57" i="215"/>
  <c r="H29" i="215"/>
  <c r="I45" i="215"/>
  <c r="P30" i="215"/>
  <c r="P84" i="215" s="1"/>
  <c r="M30" i="215"/>
  <c r="M84" i="215" s="1"/>
  <c r="N30" i="215"/>
  <c r="N84" i="215" s="1"/>
  <c r="L45" i="215"/>
  <c r="M57" i="215"/>
  <c r="N69" i="215"/>
  <c r="O30" i="215"/>
  <c r="O84" i="215" s="1"/>
  <c r="N57" i="215"/>
  <c r="O69" i="215"/>
  <c r="K45" i="215"/>
  <c r="P57" i="215"/>
  <c r="I57" i="215"/>
  <c r="N29" i="215"/>
  <c r="N83" i="215" s="1"/>
  <c r="I39" i="215"/>
  <c r="Q39" i="215"/>
  <c r="Q51" i="215"/>
  <c r="J57" i="215"/>
  <c r="F75" i="215"/>
  <c r="G57" i="215"/>
  <c r="F93" i="215"/>
  <c r="F103" i="215" s="1"/>
  <c r="F105" i="215" s="1"/>
  <c r="F109" i="215" s="1"/>
  <c r="O51" i="215"/>
  <c r="M29" i="215"/>
  <c r="M83" i="215" s="1"/>
  <c r="P51" i="215"/>
  <c r="P29" i="215"/>
  <c r="P83" i="215" s="1"/>
  <c r="J39" i="215"/>
  <c r="K57" i="215"/>
  <c r="G75" i="215"/>
  <c r="Q30" i="215"/>
  <c r="Q84" i="215" s="1"/>
  <c r="M51" i="215"/>
  <c r="K29" i="215"/>
  <c r="G39" i="215"/>
  <c r="Q29" i="215"/>
  <c r="Q83" i="215" s="1"/>
  <c r="K39" i="215"/>
  <c r="F45" i="215"/>
  <c r="L57" i="215"/>
  <c r="H69" i="215"/>
  <c r="H75" i="215"/>
  <c r="I29" i="215"/>
  <c r="P69" i="215"/>
  <c r="J29" i="215"/>
  <c r="N51" i="215"/>
  <c r="Q69" i="215"/>
  <c r="F39" i="215"/>
  <c r="H57" i="215"/>
  <c r="Q45" i="215"/>
  <c r="L39" i="215"/>
  <c r="G45" i="215"/>
  <c r="I69" i="215"/>
  <c r="I75" i="215"/>
  <c r="Q75" i="215"/>
  <c r="L29" i="215"/>
  <c r="L83" i="215" s="1"/>
  <c r="J45" i="215"/>
  <c r="O29" i="215"/>
  <c r="O83" i="215" s="1"/>
  <c r="O57" i="215"/>
  <c r="J69" i="215"/>
  <c r="J75" i="215"/>
  <c r="K75" i="215"/>
  <c r="L75" i="215"/>
  <c r="K69" i="215"/>
  <c r="L69" i="215"/>
  <c r="N75" i="215"/>
  <c r="M27" i="215"/>
  <c r="M110" i="215" s="1"/>
  <c r="M112" i="215" s="1"/>
  <c r="M111" i="215" s="1"/>
  <c r="N27" i="215"/>
  <c r="N110" i="215" s="1"/>
  <c r="N112" i="215" s="1"/>
  <c r="N111" i="215" s="1"/>
  <c r="P39" i="215"/>
  <c r="R23" i="215"/>
  <c r="R21" i="215"/>
  <c r="R85" i="215"/>
  <c r="R15" i="215"/>
  <c r="F27" i="215"/>
  <c r="F110" i="215" s="1"/>
  <c r="F112" i="215" s="1"/>
  <c r="F111" i="215" s="1"/>
  <c r="O27" i="215"/>
  <c r="O110" i="215" s="1"/>
  <c r="O112" i="215" s="1"/>
  <c r="O111" i="215" s="1"/>
  <c r="Q103" i="215"/>
  <c r="Q105" i="215" s="1"/>
  <c r="Q109" i="215" s="1"/>
  <c r="R9" i="215"/>
  <c r="P27" i="215"/>
  <c r="P110" i="215" s="1"/>
  <c r="P112" i="215" s="1"/>
  <c r="P111" i="215" s="1"/>
  <c r="Q27" i="215"/>
  <c r="Q110" i="215" s="1"/>
  <c r="Q112" i="215" s="1"/>
  <c r="Q111" i="215" s="1"/>
  <c r="R24" i="215"/>
  <c r="G15" i="173" l="1"/>
  <c r="M37" i="212"/>
  <c r="I33" i="215"/>
  <c r="I83" i="215"/>
  <c r="I87" i="215" s="1"/>
  <c r="I100" i="215" s="1"/>
  <c r="J33" i="215"/>
  <c r="J83" i="215"/>
  <c r="J87" i="215" s="1"/>
  <c r="J100" i="215" s="1"/>
  <c r="H33" i="215"/>
  <c r="H83" i="215"/>
  <c r="H87" i="215" s="1"/>
  <c r="H100" i="215" s="1"/>
  <c r="G33" i="215"/>
  <c r="G83" i="215"/>
  <c r="G87" i="215" s="1"/>
  <c r="G100" i="215" s="1"/>
  <c r="K33" i="215"/>
  <c r="K83" i="215"/>
  <c r="K87" i="215" s="1"/>
  <c r="K100" i="215" s="1"/>
  <c r="M69" i="215"/>
  <c r="I24" i="212" a="1"/>
  <c r="L93" i="215"/>
  <c r="L103" i="215" s="1"/>
  <c r="L105" i="215" s="1"/>
  <c r="L109" i="215" s="1"/>
  <c r="L110" i="180"/>
  <c r="U110" i="180" s="1"/>
  <c r="U107" i="180"/>
  <c r="Q107" i="180"/>
  <c r="H110" i="180"/>
  <c r="G10" i="212" a="1"/>
  <c r="AA37" i="212"/>
  <c r="S107" i="180"/>
  <c r="J110" i="180"/>
  <c r="S110" i="180" s="1"/>
  <c r="G69" i="215"/>
  <c r="I10" i="212" a="1"/>
  <c r="M93" i="215"/>
  <c r="G24" i="212" a="1"/>
  <c r="F51" i="212"/>
  <c r="R110" i="215"/>
  <c r="F87" i="215"/>
  <c r="F100" i="215" s="1"/>
  <c r="F106" i="215" s="1"/>
  <c r="P33" i="215"/>
  <c r="F33" i="215"/>
  <c r="N39" i="215"/>
  <c r="M39" i="215"/>
  <c r="O39" i="215"/>
  <c r="N45" i="215"/>
  <c r="R117" i="215"/>
  <c r="R118" i="215"/>
  <c r="R121" i="215" s="1"/>
  <c r="F121" i="215"/>
  <c r="F122" i="215" s="1"/>
  <c r="R112" i="215"/>
  <c r="R111" i="215" s="1"/>
  <c r="M33" i="215"/>
  <c r="Q33" i="215"/>
  <c r="R30" i="215"/>
  <c r="I93" i="215"/>
  <c r="I103" i="215" s="1"/>
  <c r="I105" i="215" s="1"/>
  <c r="I109" i="215" s="1"/>
  <c r="J93" i="215"/>
  <c r="J103" i="215" s="1"/>
  <c r="J105" i="215" s="1"/>
  <c r="K93" i="215"/>
  <c r="K103" i="215" s="1"/>
  <c r="K105" i="215" s="1"/>
  <c r="K109" i="215" s="1"/>
  <c r="N93" i="215"/>
  <c r="N103" i="215" s="1"/>
  <c r="N105" i="215" s="1"/>
  <c r="O45" i="215"/>
  <c r="R53" i="215"/>
  <c r="R48" i="215"/>
  <c r="R51" i="215" s="1"/>
  <c r="P45" i="215"/>
  <c r="N33" i="215"/>
  <c r="M45" i="215"/>
  <c r="R36" i="215"/>
  <c r="H93" i="215"/>
  <c r="H103" i="215" s="1"/>
  <c r="H105" i="215" s="1"/>
  <c r="G93" i="215"/>
  <c r="G103" i="215" s="1"/>
  <c r="G105" i="215" s="1"/>
  <c r="R66" i="215"/>
  <c r="L33" i="215"/>
  <c r="L87" i="215"/>
  <c r="L100" i="215" s="1"/>
  <c r="L106" i="215" s="1"/>
  <c r="R41" i="215"/>
  <c r="H39" i="215"/>
  <c r="R42" i="215"/>
  <c r="R54" i="215"/>
  <c r="R35" i="215"/>
  <c r="O33" i="215"/>
  <c r="R29" i="215"/>
  <c r="R90" i="215"/>
  <c r="O93" i="215"/>
  <c r="O103" i="215" s="1"/>
  <c r="O105" i="215" s="1"/>
  <c r="P93" i="215"/>
  <c r="P103" i="215" s="1"/>
  <c r="P105" i="215" s="1"/>
  <c r="P109" i="215" s="1"/>
  <c r="R72" i="215"/>
  <c r="M75" i="215"/>
  <c r="R71" i="215"/>
  <c r="R89" i="215"/>
  <c r="R65" i="215"/>
  <c r="R27" i="215"/>
  <c r="M103" i="215"/>
  <c r="M105" i="215" s="1"/>
  <c r="J106" i="215" l="1"/>
  <c r="F107" i="215"/>
  <c r="R33" i="215"/>
  <c r="G25" i="212"/>
  <c r="G32" i="212"/>
  <c r="G27" i="212"/>
  <c r="G31" i="212"/>
  <c r="G35" i="212"/>
  <c r="G30" i="212"/>
  <c r="G24" i="212"/>
  <c r="G29" i="212"/>
  <c r="G28" i="212"/>
  <c r="G26" i="212"/>
  <c r="G34" i="212"/>
  <c r="G33" i="212"/>
  <c r="Q110" i="180"/>
  <c r="I10" i="212"/>
  <c r="I12" i="212"/>
  <c r="AC12" i="212" s="1"/>
  <c r="I16" i="212"/>
  <c r="AC16" i="212" s="1"/>
  <c r="I21" i="212"/>
  <c r="AC21" i="212" s="1"/>
  <c r="I18" i="212"/>
  <c r="AC18" i="212" s="1"/>
  <c r="I13" i="212"/>
  <c r="AC13" i="212" s="1"/>
  <c r="I20" i="212"/>
  <c r="AC20" i="212" s="1"/>
  <c r="I14" i="212"/>
  <c r="AC14" i="212" s="1"/>
  <c r="I11" i="212"/>
  <c r="AC11" i="212" s="1"/>
  <c r="I19" i="212"/>
  <c r="AC19" i="212" s="1"/>
  <c r="I17" i="212"/>
  <c r="AC17" i="212" s="1"/>
  <c r="I15" i="212"/>
  <c r="AC15" i="212" s="1"/>
  <c r="I24" i="212"/>
  <c r="I27" i="212"/>
  <c r="AC27" i="212" s="1"/>
  <c r="I34" i="212"/>
  <c r="AC34" i="212" s="1"/>
  <c r="I35" i="212"/>
  <c r="AC35" i="212" s="1"/>
  <c r="I33" i="212"/>
  <c r="AC33" i="212" s="1"/>
  <c r="I29" i="212"/>
  <c r="AC29" i="212" s="1"/>
  <c r="I31" i="212"/>
  <c r="AC31" i="212" s="1"/>
  <c r="I30" i="212"/>
  <c r="AC30" i="212" s="1"/>
  <c r="I26" i="212"/>
  <c r="AC26" i="212" s="1"/>
  <c r="I25" i="212"/>
  <c r="AC25" i="212" s="1"/>
  <c r="I32" i="212"/>
  <c r="AC32" i="212" s="1"/>
  <c r="I28" i="212"/>
  <c r="AC28" i="212" s="1"/>
  <c r="G14" i="212"/>
  <c r="G12" i="212"/>
  <c r="G10" i="212"/>
  <c r="G11" i="212"/>
  <c r="G19" i="212"/>
  <c r="G18" i="212"/>
  <c r="G13" i="212"/>
  <c r="G21" i="212"/>
  <c r="G20" i="212"/>
  <c r="G17" i="212"/>
  <c r="G15" i="212"/>
  <c r="G16" i="212"/>
  <c r="Q87" i="215"/>
  <c r="Q100" i="215" s="1"/>
  <c r="Q106" i="215" s="1"/>
  <c r="M87" i="215"/>
  <c r="M100" i="215" s="1"/>
  <c r="R69" i="215"/>
  <c r="J109" i="215"/>
  <c r="F123" i="215"/>
  <c r="R123" i="215" s="1"/>
  <c r="R122" i="215"/>
  <c r="R116" i="215"/>
  <c r="P87" i="215"/>
  <c r="P100" i="215" s="1"/>
  <c r="P106" i="215" s="1"/>
  <c r="H109" i="215"/>
  <c r="H106" i="215"/>
  <c r="R84" i="215"/>
  <c r="K106" i="215"/>
  <c r="R57" i="215"/>
  <c r="R45" i="215"/>
  <c r="I107" i="215"/>
  <c r="R39" i="215"/>
  <c r="O87" i="215"/>
  <c r="O100" i="215" s="1"/>
  <c r="O106" i="215" s="1"/>
  <c r="I106" i="215"/>
  <c r="G107" i="215"/>
  <c r="O109" i="215"/>
  <c r="R93" i="215"/>
  <c r="R103" i="215" s="1"/>
  <c r="R105" i="215" s="1"/>
  <c r="R75" i="215"/>
  <c r="H107" i="215"/>
  <c r="J107" i="215"/>
  <c r="G109" i="215"/>
  <c r="G106" i="215"/>
  <c r="K107" i="215"/>
  <c r="L98" i="215" s="1"/>
  <c r="L107" i="215" s="1"/>
  <c r="M98" i="215" s="1"/>
  <c r="M107" i="215" s="1"/>
  <c r="N98" i="215" s="1"/>
  <c r="M106" i="215"/>
  <c r="N87" i="215"/>
  <c r="N100" i="215" s="1"/>
  <c r="N106" i="215" s="1"/>
  <c r="R83" i="215"/>
  <c r="M109" i="215"/>
  <c r="N109" i="215"/>
  <c r="M34" i="212" l="1"/>
  <c r="AA34" i="212"/>
  <c r="M26" i="212"/>
  <c r="AA26" i="212"/>
  <c r="M20" i="212"/>
  <c r="AA20" i="212"/>
  <c r="AA21" i="212"/>
  <c r="M21" i="212"/>
  <c r="AA13" i="212"/>
  <c r="M13" i="212"/>
  <c r="M28" i="212"/>
  <c r="AA28" i="212"/>
  <c r="M29" i="212"/>
  <c r="AA29" i="212"/>
  <c r="M24" i="212"/>
  <c r="AA24" i="212"/>
  <c r="G23" i="212"/>
  <c r="AA11" i="212"/>
  <c r="M11" i="212"/>
  <c r="M30" i="212"/>
  <c r="AA30" i="212"/>
  <c r="M35" i="212"/>
  <c r="AA35" i="212"/>
  <c r="AA12" i="212"/>
  <c r="M12" i="212"/>
  <c r="M31" i="212"/>
  <c r="AA31" i="212"/>
  <c r="AA14" i="212"/>
  <c r="M14" i="212"/>
  <c r="AC24" i="212"/>
  <c r="AC23" i="212" s="1"/>
  <c r="I23" i="212"/>
  <c r="AC10" i="212"/>
  <c r="AC9" i="212" s="1"/>
  <c r="I9" i="212"/>
  <c r="M27" i="212"/>
  <c r="AA27" i="212"/>
  <c r="AA16" i="212"/>
  <c r="M16" i="212"/>
  <c r="M32" i="212"/>
  <c r="AA32" i="212"/>
  <c r="M18" i="212"/>
  <c r="AA18" i="212"/>
  <c r="AA15" i="212"/>
  <c r="M15" i="212"/>
  <c r="AA25" i="212"/>
  <c r="M25" i="212"/>
  <c r="AA19" i="212"/>
  <c r="M19" i="212"/>
  <c r="AA10" i="212"/>
  <c r="M10" i="212"/>
  <c r="G9" i="212"/>
  <c r="AA17" i="212"/>
  <c r="M17" i="212"/>
  <c r="M33" i="212"/>
  <c r="AA33" i="212"/>
  <c r="R87" i="215"/>
  <c r="R100" i="215"/>
  <c r="R107" i="215" s="1"/>
  <c r="R109" i="215"/>
  <c r="N107" i="215"/>
  <c r="O98" i="215" s="1"/>
  <c r="O107" i="215" s="1"/>
  <c r="P98" i="215" s="1"/>
  <c r="P107" i="215" s="1"/>
  <c r="Q98" i="215" s="1"/>
  <c r="Q107" i="215" s="1"/>
  <c r="I51" i="212" l="1"/>
  <c r="G51" i="212"/>
  <c r="AA23" i="212"/>
  <c r="AG23" i="212"/>
  <c r="AA9" i="212"/>
  <c r="AG9" i="212"/>
  <c r="AG51" i="212" s="1"/>
  <c r="AC51" i="212"/>
  <c r="M23" i="212"/>
  <c r="M9" i="212"/>
  <c r="R106" i="215"/>
  <c r="M51" i="212" l="1"/>
  <c r="AA51" i="212"/>
  <c r="D29" i="74"/>
  <c r="E24" i="75" s="1"/>
  <c r="F8" i="114"/>
  <c r="D10" i="34" s="1"/>
  <c r="F11" i="114" l="1"/>
  <c r="E8" i="114"/>
  <c r="E14" i="114" s="1"/>
  <c r="F14" i="114" l="1"/>
  <c r="G8" i="114" s="1"/>
  <c r="G14" i="114" s="1"/>
  <c r="H8" i="114" s="1"/>
  <c r="H14" i="114" s="1"/>
  <c r="F11" i="34"/>
  <c r="G10" i="34"/>
  <c r="G11" i="34" s="1"/>
  <c r="F13" i="34" l="1"/>
  <c r="F14" i="34" s="1"/>
  <c r="G12" i="34"/>
  <c r="G13" i="34" s="1"/>
  <c r="G14" i="34" s="1"/>
  <c r="E20" i="176" l="1"/>
  <c r="I9" i="44"/>
  <c r="H9" i="44"/>
  <c r="E21" i="175"/>
  <c r="C11" i="115"/>
  <c r="E13" i="111"/>
  <c r="D13" i="111"/>
  <c r="C13" i="111"/>
  <c r="G73" i="175" l="1"/>
  <c r="H20" i="176"/>
  <c r="I20" i="176" s="1"/>
  <c r="I21" i="175"/>
  <c r="H21" i="2"/>
  <c r="K11" i="173" s="1"/>
  <c r="I21" i="2"/>
  <c r="K44" i="173" s="1"/>
  <c r="E68" i="176"/>
  <c r="E8" i="115"/>
  <c r="N12" i="111"/>
  <c r="N11" i="111"/>
  <c r="N10" i="111"/>
  <c r="K12" i="111"/>
  <c r="K11" i="111"/>
  <c r="K10" i="111"/>
  <c r="D6" i="74"/>
  <c r="C6" i="74"/>
  <c r="D41" i="73"/>
  <c r="D34" i="73"/>
  <c r="D20" i="73"/>
  <c r="D19" i="73"/>
  <c r="D16" i="73"/>
  <c r="E10" i="75" s="1"/>
  <c r="D14" i="73"/>
  <c r="E44" i="173" l="1"/>
  <c r="F44" i="173"/>
  <c r="F11" i="173"/>
  <c r="E11" i="173"/>
  <c r="G11" i="173" s="1"/>
  <c r="C64" i="214"/>
  <c r="C63" i="214"/>
  <c r="C62" i="214"/>
  <c r="C61" i="214"/>
  <c r="C60" i="214"/>
  <c r="C59" i="214"/>
  <c r="C58" i="214"/>
  <c r="C57" i="214"/>
  <c r="C56" i="214"/>
  <c r="C55" i="214"/>
  <c r="C54" i="214"/>
  <c r="C53" i="214"/>
  <c r="C52" i="214"/>
  <c r="C51" i="214"/>
  <c r="C50" i="214"/>
  <c r="C49" i="214"/>
  <c r="C48" i="214"/>
  <c r="C47" i="214"/>
  <c r="C46" i="214"/>
  <c r="C45" i="214"/>
  <c r="C44" i="214"/>
  <c r="C43" i="214"/>
  <c r="C42" i="214"/>
  <c r="C41" i="214"/>
  <c r="C40" i="214"/>
  <c r="C39" i="214"/>
  <c r="C38" i="214"/>
  <c r="C37" i="214"/>
  <c r="C36" i="214"/>
  <c r="C35" i="214"/>
  <c r="C34" i="214"/>
  <c r="C33" i="214"/>
  <c r="C32" i="214"/>
  <c r="C31" i="214"/>
  <c r="C30" i="214"/>
  <c r="C29" i="214"/>
  <c r="C28" i="214"/>
  <c r="C27" i="214"/>
  <c r="C26" i="214"/>
  <c r="C25" i="214"/>
  <c r="C24" i="214"/>
  <c r="C23" i="214"/>
  <c r="C22" i="214"/>
  <c r="C20" i="214"/>
  <c r="C19" i="214"/>
  <c r="C18" i="214"/>
  <c r="C17" i="214"/>
  <c r="C16" i="214"/>
  <c r="C15" i="214"/>
  <c r="C14" i="214"/>
  <c r="C13" i="214"/>
  <c r="C12" i="214"/>
  <c r="C11" i="214"/>
  <c r="C10" i="214"/>
  <c r="C9" i="214"/>
  <c r="C8" i="214"/>
  <c r="C7" i="214"/>
  <c r="C21" i="214"/>
  <c r="C6" i="214"/>
  <c r="C5" i="214"/>
  <c r="C4" i="214"/>
  <c r="C3" i="214"/>
  <c r="D46" i="209"/>
  <c r="D94" i="209"/>
  <c r="D93" i="209"/>
  <c r="E92" i="209"/>
  <c r="D92" i="209"/>
  <c r="E91" i="209"/>
  <c r="D91" i="209"/>
  <c r="F81" i="209"/>
  <c r="F95" i="209" s="1"/>
  <c r="D95" i="209"/>
  <c r="F80" i="209"/>
  <c r="F94" i="209" s="1"/>
  <c r="F79" i="209"/>
  <c r="F93" i="209" s="1"/>
  <c r="E93" i="209"/>
  <c r="F78" i="209"/>
  <c r="F92" i="209" s="1"/>
  <c r="C78" i="209"/>
  <c r="F77" i="209"/>
  <c r="F91" i="209" s="1"/>
  <c r="C77" i="209"/>
  <c r="F60" i="209"/>
  <c r="E36" i="209"/>
  <c r="E37" i="209" s="1"/>
  <c r="AM9" i="209"/>
  <c r="AM11" i="209" s="1"/>
  <c r="AL9" i="209"/>
  <c r="AL11" i="209" s="1"/>
  <c r="AL13" i="209" s="1"/>
  <c r="G44" i="173" l="1"/>
  <c r="C91" i="209"/>
  <c r="C92" i="209"/>
  <c r="C93" i="209"/>
  <c r="G77" i="209"/>
  <c r="G91" i="209" s="1"/>
  <c r="G81" i="209"/>
  <c r="G95" i="209" s="1"/>
  <c r="G79" i="209"/>
  <c r="G93" i="209" s="1"/>
  <c r="G78" i="209"/>
  <c r="G92" i="209" s="1"/>
  <c r="G80" i="209"/>
  <c r="G94" i="209" s="1"/>
  <c r="C81" i="209"/>
  <c r="E95" i="209"/>
  <c r="C80" i="209"/>
  <c r="E94" i="209"/>
  <c r="C79" i="209"/>
  <c r="C94" i="209" l="1"/>
  <c r="C95" i="209"/>
  <c r="K29" i="32" l="1"/>
  <c r="L29" i="32"/>
  <c r="L31" i="32" s="1"/>
  <c r="G29" i="32"/>
  <c r="G30" i="32"/>
  <c r="C29" i="32"/>
  <c r="S13" i="111"/>
  <c r="R13" i="111"/>
  <c r="K31" i="32" l="1"/>
  <c r="G31" i="32"/>
  <c r="C31" i="32"/>
  <c r="G20" i="203" l="1"/>
  <c r="G23" i="203" s="1"/>
  <c r="G25" i="203" s="1"/>
  <c r="F20" i="203"/>
  <c r="F23" i="203" s="1"/>
  <c r="F25" i="203" s="1"/>
  <c r="E20" i="203"/>
  <c r="E23" i="203" s="1"/>
  <c r="E25" i="203" s="1"/>
  <c r="D20" i="203"/>
  <c r="D23" i="203" s="1"/>
  <c r="D25" i="203" s="1"/>
  <c r="C20" i="203"/>
  <c r="C25" i="203" s="1"/>
  <c r="B20" i="203"/>
  <c r="B23" i="203" s="1"/>
  <c r="B25" i="203" s="1"/>
  <c r="E11" i="115" l="1"/>
  <c r="G14" i="138" l="1"/>
  <c r="F14" i="138"/>
  <c r="E14" i="138"/>
  <c r="D14" i="138"/>
  <c r="C14" i="138"/>
  <c r="N39" i="137"/>
  <c r="M39" i="137"/>
  <c r="L39" i="137"/>
  <c r="K39" i="137"/>
  <c r="J39" i="137"/>
  <c r="I39" i="137"/>
  <c r="H39" i="137"/>
  <c r="G39" i="137"/>
  <c r="F39" i="137"/>
  <c r="N34" i="137"/>
  <c r="M34" i="137"/>
  <c r="L34" i="137"/>
  <c r="K34" i="137"/>
  <c r="J34" i="137"/>
  <c r="I34" i="137"/>
  <c r="H34" i="137"/>
  <c r="G34" i="137"/>
  <c r="F34" i="137"/>
  <c r="N14" i="137"/>
  <c r="M14" i="137"/>
  <c r="L14" i="137"/>
  <c r="K14" i="137"/>
  <c r="J14" i="137"/>
  <c r="I14" i="137"/>
  <c r="H14" i="137"/>
  <c r="G14" i="137"/>
  <c r="F14" i="137"/>
  <c r="G26" i="129"/>
  <c r="F26" i="129"/>
  <c r="E26" i="129"/>
  <c r="G13" i="129"/>
  <c r="F13" i="129"/>
  <c r="E13" i="129"/>
  <c r="H10" i="122" l="1"/>
  <c r="H11" i="122" s="1"/>
  <c r="M13" i="111"/>
  <c r="O13" i="111"/>
  <c r="P13" i="111"/>
  <c r="J13" i="111"/>
  <c r="I13" i="111"/>
  <c r="H13" i="111"/>
  <c r="G13" i="111"/>
  <c r="F13" i="111"/>
  <c r="K8" i="122" l="1"/>
  <c r="M29" i="32"/>
  <c r="I29" i="32"/>
  <c r="H29" i="32"/>
  <c r="H31" i="32" s="1"/>
  <c r="E29" i="32"/>
  <c r="D29" i="32"/>
  <c r="H22" i="201"/>
  <c r="F22" i="201"/>
  <c r="E22" i="201"/>
  <c r="I22" i="201" s="1"/>
  <c r="J22" i="201" s="1"/>
  <c r="D22" i="201"/>
  <c r="C22" i="201"/>
  <c r="L13" i="111" l="1"/>
  <c r="F8" i="115"/>
  <c r="G11" i="115"/>
  <c r="D11" i="115"/>
  <c r="H8" i="115" l="1"/>
  <c r="Q10" i="111"/>
  <c r="T10" i="111" s="1"/>
  <c r="Q12" i="111"/>
  <c r="Q11" i="111"/>
  <c r="T12" i="111" l="1"/>
  <c r="T11" i="111"/>
  <c r="K13" i="111"/>
  <c r="T13" i="111" l="1"/>
  <c r="N13" i="111"/>
  <c r="Q13" i="111" l="1"/>
  <c r="E31" i="32" l="1"/>
  <c r="D31" i="32"/>
  <c r="J10" i="122" l="1"/>
  <c r="G10" i="122"/>
  <c r="G11" i="122" s="1"/>
  <c r="H13" i="122"/>
  <c r="C19" i="48" l="1"/>
  <c r="E35" i="174"/>
  <c r="J11" i="122"/>
  <c r="J13" i="122" s="1"/>
  <c r="C8" i="48"/>
  <c r="C13" i="48" s="1"/>
  <c r="C15" i="48" s="1"/>
  <c r="C21" i="48"/>
  <c r="C23" i="48" s="1"/>
  <c r="E36" i="174" s="1"/>
  <c r="F36" i="2" s="1"/>
  <c r="G13" i="122"/>
  <c r="I10" i="122"/>
  <c r="J27" i="77"/>
  <c r="J29" i="77" s="1"/>
  <c r="G27" i="77"/>
  <c r="G29" i="77" s="1"/>
  <c r="J12" i="77"/>
  <c r="J14" i="77" s="1"/>
  <c r="G11" i="77"/>
  <c r="G8" i="77"/>
  <c r="D47" i="74"/>
  <c r="D8" i="74"/>
  <c r="I11" i="122" l="1"/>
  <c r="I13" i="122" s="1"/>
  <c r="D43" i="74"/>
  <c r="F35" i="174"/>
  <c r="F35" i="2"/>
  <c r="G12" i="77"/>
  <c r="G14" i="77" s="1"/>
  <c r="I31" i="32"/>
  <c r="G9" i="167" s="1"/>
  <c r="D19" i="48"/>
  <c r="J18" i="77"/>
  <c r="J20" i="77" s="1"/>
  <c r="E46" i="75"/>
  <c r="G35" i="2" l="1"/>
  <c r="H35" i="175"/>
  <c r="D21" i="48"/>
  <c r="D8" i="48"/>
  <c r="D13" i="48" s="1"/>
  <c r="D15" i="48" s="1"/>
  <c r="K9" i="167"/>
  <c r="G18" i="77"/>
  <c r="G20" i="77" s="1"/>
  <c r="D23" i="48" l="1"/>
  <c r="F36" i="174" s="1"/>
  <c r="M31" i="32"/>
  <c r="M57" i="194"/>
  <c r="M58" i="194" s="1"/>
  <c r="G36" i="2" l="1"/>
  <c r="D26" i="73" s="1"/>
  <c r="H36" i="175"/>
  <c r="A12" i="193"/>
  <c r="A9" i="193"/>
  <c r="A10" i="193" s="1"/>
  <c r="A34" i="172" l="1"/>
  <c r="A10" i="167" l="1"/>
  <c r="A17" i="45" l="1"/>
  <c r="A18" i="45" s="1"/>
  <c r="A19" i="45" s="1"/>
  <c r="A20" i="45" s="1"/>
  <c r="A21" i="45" s="1"/>
  <c r="A22" i="45" s="1"/>
  <c r="A23" i="45" s="1"/>
  <c r="A9" i="122" l="1"/>
  <c r="A10" i="122" s="1"/>
  <c r="A11" i="122" s="1"/>
  <c r="A12" i="122" s="1"/>
  <c r="A9" i="62" l="1"/>
  <c r="A10" i="62" s="1"/>
  <c r="A11" i="62" s="1"/>
  <c r="A12" i="62" s="1"/>
  <c r="A13" i="62" s="1"/>
  <c r="A14" i="62" s="1"/>
  <c r="A15" i="62" s="1"/>
  <c r="A16" i="62" s="1"/>
  <c r="A17" i="62" s="1"/>
  <c r="A18" i="62" s="1"/>
  <c r="A19" i="62" s="1"/>
  <c r="A20" i="62" s="1"/>
  <c r="A21" i="62" s="1"/>
  <c r="A22" i="62" s="1"/>
  <c r="A23" i="62" s="1"/>
  <c r="A24" i="62" s="1"/>
  <c r="A25" i="62" s="1"/>
  <c r="A26" i="62" s="1"/>
  <c r="A27" i="62" s="1"/>
  <c r="A28" i="62" s="1"/>
  <c r="A29" i="62" s="1"/>
  <c r="A30" i="62" s="1"/>
  <c r="A31" i="62" s="1"/>
  <c r="A32" i="62" s="1"/>
  <c r="A33" i="62" s="1"/>
  <c r="A34" i="62" s="1"/>
  <c r="A35" i="62" s="1"/>
  <c r="A36" i="62" s="1"/>
  <c r="A37" i="62" s="1"/>
  <c r="A38" i="62" s="1"/>
  <c r="A9" i="32" l="1"/>
  <c r="A10" i="32" s="1"/>
  <c r="A11" i="32" s="1"/>
  <c r="A12" i="32" s="1"/>
  <c r="A13" i="32" s="1"/>
  <c r="A14" i="32" s="1"/>
  <c r="A15" i="32" s="1"/>
  <c r="A16" i="32" s="1"/>
  <c r="A17" i="32" s="1"/>
  <c r="A18" i="32" s="1"/>
  <c r="A19" i="32" s="1"/>
  <c r="A20" i="32" s="1"/>
  <c r="A21" i="32" s="1"/>
  <c r="A22" i="32" s="1"/>
  <c r="A23" i="32" s="1"/>
  <c r="A24" i="32" s="1"/>
  <c r="A25" i="32" s="1"/>
  <c r="A26" i="32" s="1"/>
  <c r="A27" i="32" s="1"/>
  <c r="A28" i="32" s="1"/>
  <c r="A30" i="32" s="1"/>
  <c r="A2" i="74" l="1"/>
  <c r="K10" i="122" l="1"/>
  <c r="L8" i="122" s="1"/>
  <c r="K11" i="122" l="1"/>
  <c r="K13" i="122" s="1"/>
  <c r="E19" i="48" l="1"/>
  <c r="E35" i="175"/>
  <c r="E21" i="48"/>
  <c r="E8" i="48"/>
  <c r="E13" i="48" s="1"/>
  <c r="E15" i="48" s="1"/>
  <c r="L10" i="122"/>
  <c r="L11" i="122" s="1"/>
  <c r="H35" i="2" l="1"/>
  <c r="K20" i="173" s="1"/>
  <c r="I35" i="175"/>
  <c r="H31" i="176"/>
  <c r="E23" i="48"/>
  <c r="E36" i="175" s="1"/>
  <c r="H36" i="2" s="1"/>
  <c r="K21" i="173" s="1"/>
  <c r="L13" i="122"/>
  <c r="E21" i="173" l="1"/>
  <c r="F21" i="173"/>
  <c r="F19" i="48"/>
  <c r="E31" i="176"/>
  <c r="E20" i="173"/>
  <c r="F20" i="173"/>
  <c r="G20" i="173" s="1"/>
  <c r="F21" i="48"/>
  <c r="F8" i="48"/>
  <c r="F13" i="48" s="1"/>
  <c r="F15" i="48" s="1"/>
  <c r="H11" i="115"/>
  <c r="I8" i="115" s="1"/>
  <c r="I11" i="115" s="1"/>
  <c r="I35" i="2" l="1"/>
  <c r="K53" i="173" s="1"/>
  <c r="I31" i="176"/>
  <c r="G21" i="173"/>
  <c r="F23" i="48"/>
  <c r="E32" i="176" s="1"/>
  <c r="I36" i="2" s="1"/>
  <c r="K54" i="173" s="1"/>
  <c r="F54" i="173" l="1"/>
  <c r="E54" i="173"/>
  <c r="G54" i="173" s="1"/>
  <c r="F53" i="173"/>
  <c r="E53" i="173"/>
  <c r="G53" i="173" s="1"/>
  <c r="F29" i="32"/>
  <c r="F31" i="32" s="1"/>
  <c r="F9" i="167" s="1"/>
  <c r="H9" i="167" s="1"/>
  <c r="C15" i="172" l="1"/>
  <c r="C18" i="172" s="1"/>
  <c r="E15" i="172"/>
  <c r="E15" i="75" s="1"/>
  <c r="H15" i="172"/>
  <c r="E29" i="175" s="1"/>
  <c r="H29" i="2" s="1"/>
  <c r="K16" i="173" s="1"/>
  <c r="I15" i="172"/>
  <c r="E16" i="173" l="1"/>
  <c r="F16" i="173"/>
  <c r="E55" i="75"/>
  <c r="E59" i="75" s="1"/>
  <c r="E20" i="75"/>
  <c r="E25" i="176"/>
  <c r="I29" i="2" s="1"/>
  <c r="K49" i="173" s="1"/>
  <c r="E29" i="174"/>
  <c r="F29" i="2" s="1"/>
  <c r="H25" i="176"/>
  <c r="F49" i="173" l="1"/>
  <c r="E49" i="173"/>
  <c r="G16" i="173"/>
  <c r="I25" i="176"/>
  <c r="F29" i="174"/>
  <c r="G29" i="2" s="1"/>
  <c r="G49" i="173" l="1"/>
  <c r="H29" i="175"/>
  <c r="F44" i="62"/>
  <c r="F46" i="62" s="1"/>
  <c r="F10" i="167" s="1"/>
  <c r="I29" i="175" l="1"/>
  <c r="E17" i="172" l="1"/>
  <c r="H27" i="62"/>
  <c r="I27" i="62" s="1"/>
  <c r="K27" i="62" s="1"/>
  <c r="L27" i="62" s="1"/>
  <c r="H39" i="62"/>
  <c r="I39" i="62" s="1"/>
  <c r="K39" i="62" s="1"/>
  <c r="L39" i="62" s="1"/>
  <c r="H22" i="62"/>
  <c r="I22" i="62" s="1"/>
  <c r="K22" i="62" s="1"/>
  <c r="L22" i="62" s="1"/>
  <c r="H23" i="62"/>
  <c r="I23" i="62" s="1"/>
  <c r="K23" i="62" s="1"/>
  <c r="L23" i="62" s="1"/>
  <c r="H21" i="62"/>
  <c r="I21" i="62" s="1"/>
  <c r="K21" i="62" s="1"/>
  <c r="L21" i="62" s="1"/>
  <c r="H28" i="62"/>
  <c r="I28" i="62" s="1"/>
  <c r="K28" i="62" s="1"/>
  <c r="L28" i="62" s="1"/>
  <c r="H16" i="62"/>
  <c r="I16" i="62" s="1"/>
  <c r="K16" i="62" s="1"/>
  <c r="L16" i="62" s="1"/>
  <c r="H9" i="62"/>
  <c r="H15" i="62"/>
  <c r="I15" i="62" s="1"/>
  <c r="K15" i="62" s="1"/>
  <c r="L15" i="62" s="1"/>
  <c r="E31" i="174" l="1"/>
  <c r="E18" i="172"/>
  <c r="H44" i="62"/>
  <c r="H46" i="62" s="1"/>
  <c r="I9" i="62"/>
  <c r="D59" i="74"/>
  <c r="E33" i="75" s="1"/>
  <c r="I44" i="62" l="1"/>
  <c r="I46" i="62" s="1"/>
  <c r="K9" i="62"/>
  <c r="E23" i="174"/>
  <c r="G10" i="167"/>
  <c r="F31" i="2"/>
  <c r="F31" i="174"/>
  <c r="G31" i="2" l="1"/>
  <c r="H31" i="175"/>
  <c r="I31" i="175" s="1"/>
  <c r="K44" i="62"/>
  <c r="K46" i="62" s="1"/>
  <c r="L9" i="62"/>
  <c r="L44" i="62" s="1"/>
  <c r="L46" i="62" s="1"/>
  <c r="K10" i="167"/>
  <c r="E8" i="44"/>
  <c r="F8" i="44" s="1"/>
  <c r="H10" i="167"/>
  <c r="F23" i="174"/>
  <c r="F23" i="2"/>
  <c r="F24" i="2" s="1"/>
  <c r="E27" i="174"/>
  <c r="E22" i="176" l="1"/>
  <c r="I8" i="44"/>
  <c r="E23" i="175"/>
  <c r="H8" i="44"/>
  <c r="G72" i="174"/>
  <c r="G23" i="2"/>
  <c r="H23" i="175"/>
  <c r="F27" i="174"/>
  <c r="H27" i="175" s="1"/>
  <c r="AE11" i="90"/>
  <c r="AD12" i="90"/>
  <c r="AD11" i="90"/>
  <c r="G24" i="2" l="1"/>
  <c r="D18" i="73"/>
  <c r="C72" i="175"/>
  <c r="G70" i="174"/>
  <c r="H72" i="174"/>
  <c r="H23" i="2"/>
  <c r="I23" i="175"/>
  <c r="G72" i="175"/>
  <c r="E27" i="175"/>
  <c r="H22" i="176"/>
  <c r="I22" i="176" s="1"/>
  <c r="I23" i="2"/>
  <c r="E67" i="176"/>
  <c r="E23" i="176"/>
  <c r="V135" i="180"/>
  <c r="AC11" i="92"/>
  <c r="C11" i="206"/>
  <c r="V125" i="180"/>
  <c r="AC10" i="92"/>
  <c r="AC16" i="92" s="1"/>
  <c r="AD19" i="90"/>
  <c r="C10" i="206"/>
  <c r="C15" i="206" s="1"/>
  <c r="X125" i="180"/>
  <c r="AE10" i="92"/>
  <c r="E10" i="206"/>
  <c r="E65" i="176" l="1"/>
  <c r="F67" i="176" s="1"/>
  <c r="G70" i="175"/>
  <c r="H72" i="175" s="1"/>
  <c r="K13" i="173"/>
  <c r="H24" i="2"/>
  <c r="H71" i="174"/>
  <c r="H73" i="174"/>
  <c r="I24" i="2"/>
  <c r="K46" i="173"/>
  <c r="I27" i="175"/>
  <c r="H23" i="176"/>
  <c r="I23" i="176" s="1"/>
  <c r="C70" i="175"/>
  <c r="D72" i="175" s="1"/>
  <c r="AK10" i="92"/>
  <c r="X128" i="180"/>
  <c r="V128" i="180"/>
  <c r="V149" i="180"/>
  <c r="F13" i="173" l="1"/>
  <c r="F14" i="173" s="1"/>
  <c r="E13" i="173"/>
  <c r="K14" i="173"/>
  <c r="E46" i="173"/>
  <c r="K47" i="173"/>
  <c r="F46" i="173"/>
  <c r="F47" i="173" s="1"/>
  <c r="H73" i="175"/>
  <c r="H71" i="175"/>
  <c r="D73" i="175"/>
  <c r="D71" i="175"/>
  <c r="F66" i="176"/>
  <c r="F68" i="176"/>
  <c r="V176" i="180"/>
  <c r="G13" i="173" l="1"/>
  <c r="G14" i="173" s="1"/>
  <c r="E14" i="173"/>
  <c r="C14" i="173" s="1"/>
  <c r="G46" i="173"/>
  <c r="G47" i="173" s="1"/>
  <c r="D47" i="173" s="1"/>
  <c r="E47" i="173"/>
  <c r="D14" i="173"/>
  <c r="C47" i="173" l="1"/>
  <c r="AB11" i="90" l="1"/>
  <c r="AA12" i="90"/>
  <c r="AA11" i="90"/>
  <c r="P125" i="180" l="1"/>
  <c r="R10" i="92"/>
  <c r="N125" i="180"/>
  <c r="AA19" i="90"/>
  <c r="P10" i="92"/>
  <c r="N135" i="180"/>
  <c r="P11" i="92"/>
  <c r="P16" i="92" l="1"/>
  <c r="N128" i="180"/>
  <c r="W125" i="180"/>
  <c r="N149" i="180"/>
  <c r="W135" i="180"/>
  <c r="P128" i="180"/>
  <c r="Y125" i="180"/>
  <c r="N176" i="180" l="1"/>
  <c r="W176" i="180" s="1"/>
  <c r="W128" i="180"/>
  <c r="Y128" i="180"/>
  <c r="W149" i="180"/>
  <c r="Y12" i="90" l="1"/>
  <c r="Y11" i="90"/>
  <c r="X12" i="90"/>
  <c r="X11" i="90" l="1"/>
  <c r="F135" i="180"/>
  <c r="C11" i="92"/>
  <c r="H125" i="180"/>
  <c r="E10" i="92"/>
  <c r="Y19" i="90"/>
  <c r="AH11" i="90"/>
  <c r="H135" i="180"/>
  <c r="H149" i="180" s="1"/>
  <c r="E11" i="92"/>
  <c r="E16" i="92" l="1"/>
  <c r="F149" i="180"/>
  <c r="O149" i="180" s="1"/>
  <c r="O135" i="180"/>
  <c r="Q125" i="180"/>
  <c r="H128" i="180"/>
  <c r="F125" i="180"/>
  <c r="X19" i="90"/>
  <c r="C10" i="92"/>
  <c r="C16" i="92" s="1"/>
  <c r="H176" i="180" l="1"/>
  <c r="Q128" i="180"/>
  <c r="F128" i="180"/>
  <c r="O125" i="180"/>
  <c r="AB12" i="90" l="1"/>
  <c r="F176" i="180"/>
  <c r="O176" i="180" s="1"/>
  <c r="O128" i="180"/>
  <c r="P135" i="180" l="1"/>
  <c r="R11" i="92"/>
  <c r="R16" i="92" s="1"/>
  <c r="AB19" i="90"/>
  <c r="D16" i="45"/>
  <c r="D23" i="45"/>
  <c r="G23" i="45" l="1"/>
  <c r="H23" i="45" s="1"/>
  <c r="E23" i="45"/>
  <c r="G16" i="45"/>
  <c r="E16" i="45"/>
  <c r="E25" i="45" s="1"/>
  <c r="D25" i="45"/>
  <c r="E41" i="174" s="1"/>
  <c r="P149" i="180"/>
  <c r="Q135" i="180"/>
  <c r="AE12" i="90"/>
  <c r="F41" i="174" l="1"/>
  <c r="E43" i="174"/>
  <c r="F41" i="2"/>
  <c r="F43" i="2" s="1"/>
  <c r="H16" i="45"/>
  <c r="H25" i="45" s="1"/>
  <c r="E37" i="176" s="1"/>
  <c r="G25" i="45"/>
  <c r="E41" i="175" s="1"/>
  <c r="Q149" i="180"/>
  <c r="P176" i="180"/>
  <c r="Q176" i="180" s="1"/>
  <c r="AH12" i="90"/>
  <c r="X135" i="180"/>
  <c r="E11" i="206"/>
  <c r="E15" i="206" s="1"/>
  <c r="AE11" i="92"/>
  <c r="AE16" i="92" s="1"/>
  <c r="AE19" i="90"/>
  <c r="AH19" i="90" s="1"/>
  <c r="I41" i="2" l="1"/>
  <c r="E39" i="176"/>
  <c r="F43" i="174"/>
  <c r="G41" i="2"/>
  <c r="H41" i="175"/>
  <c r="H43" i="175" s="1"/>
  <c r="H37" i="176"/>
  <c r="H39" i="176" s="1"/>
  <c r="H41" i="2"/>
  <c r="E43" i="175"/>
  <c r="X149" i="180"/>
  <c r="Y135" i="180"/>
  <c r="I43" i="175" l="1"/>
  <c r="I41" i="175"/>
  <c r="K26" i="173"/>
  <c r="H43" i="2"/>
  <c r="K59" i="173"/>
  <c r="I43" i="2"/>
  <c r="G43" i="2"/>
  <c r="D8" i="73"/>
  <c r="I39" i="176"/>
  <c r="I37" i="176"/>
  <c r="Y149" i="180"/>
  <c r="X176" i="180"/>
  <c r="Y176" i="180" s="1"/>
  <c r="F59" i="173" l="1"/>
  <c r="F61" i="173" s="1"/>
  <c r="K61" i="173"/>
  <c r="E59" i="173"/>
  <c r="E26" i="173"/>
  <c r="F26" i="173"/>
  <c r="F28" i="173" s="1"/>
  <c r="K28" i="173"/>
  <c r="G26" i="173" l="1"/>
  <c r="G28" i="173" s="1"/>
  <c r="D28" i="173" s="1"/>
  <c r="E28" i="173"/>
  <c r="G59" i="173"/>
  <c r="G61" i="173" s="1"/>
  <c r="D61" i="173" s="1"/>
  <c r="E61" i="173"/>
  <c r="C28" i="173" l="1"/>
  <c r="C61" i="173"/>
  <c r="T99" i="185" l="1"/>
  <c r="R95" i="185"/>
  <c r="W99" i="185" l="1"/>
  <c r="EK99" i="185"/>
  <c r="T113" i="185"/>
  <c r="W95" i="185"/>
  <c r="Q95" i="185"/>
  <c r="R113" i="185"/>
  <c r="AB95" i="185"/>
  <c r="EI95" i="185" s="1"/>
  <c r="EN95" i="185" l="1"/>
  <c r="EH95" i="185"/>
  <c r="V95" i="185"/>
  <c r="W113" i="185"/>
  <c r="EK113" i="185"/>
  <c r="EN99" i="185"/>
  <c r="AA95" i="185"/>
  <c r="AG95" i="185"/>
  <c r="AB113" i="185"/>
  <c r="X99" i="185" l="1"/>
  <c r="AF95" i="185"/>
  <c r="AG113" i="185"/>
  <c r="N99" i="185"/>
  <c r="D124" i="185"/>
  <c r="EM95" i="185"/>
  <c r="EO95" i="185"/>
  <c r="Q99" i="185" l="1"/>
  <c r="EE99" i="185"/>
  <c r="N113" i="185"/>
  <c r="S99" i="185"/>
  <c r="V99" i="185"/>
  <c r="AA99" i="185"/>
  <c r="AC99" i="185"/>
  <c r="X113" i="185"/>
  <c r="AF113" i="185" s="1"/>
  <c r="AF99" i="185"/>
  <c r="D125" i="185"/>
  <c r="C125" i="185" l="1"/>
  <c r="AC113" i="185"/>
  <c r="AA113" i="185"/>
  <c r="C124" i="185"/>
  <c r="C136" i="185" s="1"/>
  <c r="S113" i="185"/>
  <c r="Q113" i="185"/>
  <c r="V113" i="185"/>
  <c r="EE113" i="185"/>
  <c r="EH99" i="185"/>
  <c r="EJ99" i="185"/>
  <c r="EO99" i="185"/>
  <c r="EM99" i="185"/>
  <c r="L170" i="102"/>
  <c r="L169" i="102"/>
  <c r="N225" i="102"/>
  <c r="J170" i="102"/>
  <c r="N170" i="102"/>
  <c r="AE22" i="92"/>
  <c r="X10" i="92"/>
  <c r="M10" i="92"/>
  <c r="M16" i="92" s="1"/>
  <c r="AA10" i="92"/>
  <c r="R22" i="92"/>
  <c r="X11" i="92"/>
  <c r="AE21" i="92"/>
  <c r="M11" i="92"/>
  <c r="K11" i="92"/>
  <c r="R21" i="92"/>
  <c r="K10" i="92"/>
  <c r="K16" i="92" s="1"/>
  <c r="E22" i="92"/>
  <c r="E21" i="92"/>
  <c r="E23" i="92" s="1"/>
  <c r="J96" i="185" l="1"/>
  <c r="J7" i="162"/>
  <c r="D39" i="207" s="1"/>
  <c r="E20" i="206"/>
  <c r="AE23" i="92"/>
  <c r="X16" i="92"/>
  <c r="J169" i="102"/>
  <c r="L172" i="102"/>
  <c r="R23" i="92"/>
  <c r="N10" i="92"/>
  <c r="N16" i="92" s="1"/>
  <c r="EJ113" i="185"/>
  <c r="O170" i="102"/>
  <c r="P170" i="102" s="1"/>
  <c r="N210" i="102"/>
  <c r="N169" i="102"/>
  <c r="N172" i="102" s="1"/>
  <c r="E21" i="206"/>
  <c r="K11" i="206" s="1"/>
  <c r="AK11" i="92"/>
  <c r="AK16" i="92" s="1"/>
  <c r="J225" i="102"/>
  <c r="L225" i="102"/>
  <c r="N11" i="92"/>
  <c r="Z11" i="90"/>
  <c r="Z12" i="90"/>
  <c r="D59" i="207" l="1"/>
  <c r="D61" i="207" s="1"/>
  <c r="D62" i="207" s="1"/>
  <c r="D41" i="207"/>
  <c r="O169" i="102"/>
  <c r="J95" i="185"/>
  <c r="J172" i="102"/>
  <c r="O225" i="102"/>
  <c r="N223" i="102"/>
  <c r="O210" i="102"/>
  <c r="J99" i="185"/>
  <c r="K10" i="206"/>
  <c r="K15" i="206" s="1"/>
  <c r="E22" i="206"/>
  <c r="F9" i="2"/>
  <c r="J125" i="180"/>
  <c r="J128" i="180" s="1"/>
  <c r="D10" i="92"/>
  <c r="Z19" i="90"/>
  <c r="J135" i="180"/>
  <c r="J149" i="180" s="1"/>
  <c r="D11" i="92"/>
  <c r="F8" i="2"/>
  <c r="H17" i="77"/>
  <c r="I17" i="77" s="1"/>
  <c r="L98" i="185" l="1"/>
  <c r="L96" i="218"/>
  <c r="L98" i="217"/>
  <c r="M98" i="217" s="1"/>
  <c r="EP98" i="217" s="1"/>
  <c r="L95" i="217"/>
  <c r="M95" i="217" s="1"/>
  <c r="L97" i="217"/>
  <c r="M97" i="217" s="1"/>
  <c r="EP97" i="217" s="1"/>
  <c r="L96" i="217"/>
  <c r="M96" i="217" s="1"/>
  <c r="EP96" i="217" s="1"/>
  <c r="L97" i="218"/>
  <c r="M97" i="218" s="1"/>
  <c r="EP97" i="218" s="1"/>
  <c r="O223" i="102"/>
  <c r="E19" i="174"/>
  <c r="P225" i="102"/>
  <c r="P169" i="102"/>
  <c r="O172" i="102"/>
  <c r="P172" i="102" s="1"/>
  <c r="L97" i="185"/>
  <c r="L99" i="185"/>
  <c r="M99" i="185" s="1"/>
  <c r="EP99" i="185" s="1"/>
  <c r="J8" i="207"/>
  <c r="L96" i="185"/>
  <c r="M96" i="185" s="1"/>
  <c r="EP96" i="185" s="1"/>
  <c r="L95" i="185"/>
  <c r="F10" i="2"/>
  <c r="H11" i="77" s="1"/>
  <c r="G8" i="2"/>
  <c r="J11" i="92"/>
  <c r="F11" i="92"/>
  <c r="J10" i="92"/>
  <c r="F10" i="92"/>
  <c r="D16" i="92"/>
  <c r="F16" i="92" s="1"/>
  <c r="J176" i="180"/>
  <c r="G9" i="2"/>
  <c r="I8" i="77" s="1"/>
  <c r="H8" i="77"/>
  <c r="E9" i="174" s="1"/>
  <c r="F9" i="174" s="1"/>
  <c r="H9" i="175" s="1"/>
  <c r="M95" i="185" l="1"/>
  <c r="E86" i="174"/>
  <c r="D80" i="176" s="1"/>
  <c r="E86" i="175"/>
  <c r="F19" i="2"/>
  <c r="F19" i="174"/>
  <c r="M112" i="217"/>
  <c r="EP112" i="217" s="1"/>
  <c r="EP95" i="217"/>
  <c r="E81" i="174"/>
  <c r="D75" i="176" s="1"/>
  <c r="E17" i="129"/>
  <c r="E30" i="129" s="1"/>
  <c r="F80" i="176"/>
  <c r="F81" i="176" s="1"/>
  <c r="M96" i="218"/>
  <c r="H12" i="77"/>
  <c r="H14" i="77" s="1"/>
  <c r="N15" i="206"/>
  <c r="D8" i="207"/>
  <c r="EP95" i="185"/>
  <c r="G10" i="2"/>
  <c r="I11" i="77" s="1"/>
  <c r="D52" i="207"/>
  <c r="D31" i="207"/>
  <c r="D42" i="207"/>
  <c r="O11" i="92"/>
  <c r="L135" i="180" s="1"/>
  <c r="L149" i="180" s="1"/>
  <c r="O10" i="92"/>
  <c r="J16" i="92"/>
  <c r="E80" i="176" l="1"/>
  <c r="E81" i="176" s="1"/>
  <c r="E87" i="175"/>
  <c r="G19" i="2"/>
  <c r="H19" i="175"/>
  <c r="I19" i="175" s="1"/>
  <c r="M112" i="218"/>
  <c r="EP112" i="218" s="1"/>
  <c r="EP96" i="218"/>
  <c r="H18" i="77"/>
  <c r="H20" i="77" s="1"/>
  <c r="H27" i="77" s="1"/>
  <c r="H29" i="77" s="1"/>
  <c r="E8" i="174"/>
  <c r="D10" i="177"/>
  <c r="D9" i="207"/>
  <c r="D15" i="207" s="1"/>
  <c r="L125" i="180"/>
  <c r="L128" i="180" s="1"/>
  <c r="L176" i="180" s="1"/>
  <c r="O16" i="92"/>
  <c r="D10" i="207"/>
  <c r="D16" i="207" s="1"/>
  <c r="D56" i="207" s="1"/>
  <c r="D63" i="207" s="1"/>
  <c r="I12" i="77"/>
  <c r="I14" i="77" s="1"/>
  <c r="AF12" i="90"/>
  <c r="I18" i="77" l="1"/>
  <c r="I20" i="77" s="1"/>
  <c r="E16" i="129"/>
  <c r="E10" i="44"/>
  <c r="E13" i="174"/>
  <c r="E10" i="174"/>
  <c r="F8" i="174"/>
  <c r="AF11" i="90"/>
  <c r="Z135" i="180"/>
  <c r="Z149" i="180" s="1"/>
  <c r="D11" i="206"/>
  <c r="C102" i="209" s="1"/>
  <c r="AD11" i="92"/>
  <c r="AI12" i="90"/>
  <c r="D25" i="207"/>
  <c r="D32" i="207" s="1"/>
  <c r="D36" i="207"/>
  <c r="D43" i="207" s="1"/>
  <c r="D46" i="207"/>
  <c r="D53" i="207" s="1"/>
  <c r="I27" i="77"/>
  <c r="I29" i="77" s="1"/>
  <c r="F10" i="44"/>
  <c r="F12" i="44" s="1"/>
  <c r="F14" i="44" s="1"/>
  <c r="F16" i="44" s="1"/>
  <c r="E12" i="44"/>
  <c r="E14" i="44" s="1"/>
  <c r="AC11" i="90"/>
  <c r="AC12" i="90"/>
  <c r="F13" i="2" l="1"/>
  <c r="F14" i="2" s="1"/>
  <c r="E14" i="174"/>
  <c r="F13" i="174"/>
  <c r="E19" i="129"/>
  <c r="E20" i="129" s="1"/>
  <c r="E29" i="129"/>
  <c r="E31" i="129" s="1"/>
  <c r="E16" i="44"/>
  <c r="E32" i="174" s="1"/>
  <c r="F32" i="2" s="1"/>
  <c r="D58" i="74"/>
  <c r="F10" i="174"/>
  <c r="H8" i="175"/>
  <c r="F32" i="174"/>
  <c r="G32" i="2" s="1"/>
  <c r="AJ11" i="92"/>
  <c r="AF11" i="92"/>
  <c r="J11" i="206"/>
  <c r="O11" i="206" s="1"/>
  <c r="F11" i="206"/>
  <c r="H9" i="2"/>
  <c r="K8" i="77" s="1"/>
  <c r="Z125" i="180"/>
  <c r="Z128" i="180" s="1"/>
  <c r="Z176" i="180" s="1"/>
  <c r="D10" i="206"/>
  <c r="C101" i="209" s="1"/>
  <c r="AD10" i="92"/>
  <c r="AF19" i="90"/>
  <c r="AI19" i="90" s="1"/>
  <c r="AI11" i="90"/>
  <c r="R135" i="180"/>
  <c r="Q11" i="92"/>
  <c r="R125" i="180"/>
  <c r="AC19" i="90"/>
  <c r="Q10" i="92"/>
  <c r="I9" i="2"/>
  <c r="L8" i="77" s="1"/>
  <c r="E9" i="175" l="1"/>
  <c r="F17" i="129"/>
  <c r="F30" i="129" s="1"/>
  <c r="H13" i="175"/>
  <c r="H14" i="175" s="1"/>
  <c r="G13" i="2"/>
  <c r="G14" i="2" s="1"/>
  <c r="D7" i="73" s="1"/>
  <c r="D9" i="73" s="1"/>
  <c r="F14" i="174"/>
  <c r="E91" i="174"/>
  <c r="D85" i="176" s="1"/>
  <c r="E90" i="174"/>
  <c r="D84" i="176" s="1"/>
  <c r="E9" i="176"/>
  <c r="G17" i="129"/>
  <c r="G30" i="129" s="1"/>
  <c r="C7" i="209"/>
  <c r="AB135" i="180"/>
  <c r="AB149" i="180" s="1"/>
  <c r="B86" i="209"/>
  <c r="C86" i="209" s="1"/>
  <c r="D102" i="209"/>
  <c r="D15" i="73"/>
  <c r="E32" i="75"/>
  <c r="D56" i="74"/>
  <c r="D46" i="74" s="1"/>
  <c r="F75" i="176"/>
  <c r="E81" i="175"/>
  <c r="I9" i="175"/>
  <c r="H9" i="176"/>
  <c r="I9" i="176" s="1"/>
  <c r="H10" i="175"/>
  <c r="E82" i="174"/>
  <c r="H32" i="175"/>
  <c r="E8" i="207"/>
  <c r="J10" i="206"/>
  <c r="F10" i="206"/>
  <c r="D15" i="206"/>
  <c r="AF10" i="92"/>
  <c r="AJ10" i="92"/>
  <c r="AD16" i="92"/>
  <c r="AF16" i="92" s="1"/>
  <c r="AN10" i="92"/>
  <c r="AM11" i="92"/>
  <c r="F8" i="207"/>
  <c r="R128" i="180"/>
  <c r="S125" i="180"/>
  <c r="AA125" i="180"/>
  <c r="S10" i="92"/>
  <c r="W10" i="92"/>
  <c r="Q16" i="92"/>
  <c r="S16" i="92" s="1"/>
  <c r="W11" i="92"/>
  <c r="S11" i="92"/>
  <c r="AA135" i="180"/>
  <c r="R149" i="180"/>
  <c r="S135" i="180"/>
  <c r="AA11" i="92"/>
  <c r="D53" i="209" l="1"/>
  <c r="D43" i="209"/>
  <c r="C12" i="209"/>
  <c r="E75" i="176"/>
  <c r="D76" i="176"/>
  <c r="D77" i="176" s="1"/>
  <c r="E83" i="174"/>
  <c r="Z11" i="92"/>
  <c r="AB11" i="92" s="1"/>
  <c r="T135" i="180" s="1"/>
  <c r="T149" i="180" s="1"/>
  <c r="AM10" i="92"/>
  <c r="AO10" i="92" s="1"/>
  <c r="AJ16" i="92"/>
  <c r="AN11" i="92"/>
  <c r="AO11" i="92" s="1"/>
  <c r="AA16" i="92"/>
  <c r="Z10" i="92"/>
  <c r="J15" i="206"/>
  <c r="O10" i="206"/>
  <c r="AA128" i="180"/>
  <c r="R176" i="180"/>
  <c r="S128" i="180"/>
  <c r="W16" i="92"/>
  <c r="S149" i="180"/>
  <c r="AA149" i="180"/>
  <c r="Z16" i="92" l="1"/>
  <c r="B85" i="209"/>
  <c r="C85" i="209" s="1"/>
  <c r="D101" i="209"/>
  <c r="C17" i="209"/>
  <c r="C13" i="209"/>
  <c r="D68" i="209"/>
  <c r="AC135" i="180"/>
  <c r="U135" i="180"/>
  <c r="AO16" i="92"/>
  <c r="E13" i="176" s="1"/>
  <c r="AN16" i="92"/>
  <c r="AB10" i="92"/>
  <c r="AB125" i="180"/>
  <c r="AB128" i="180" s="1"/>
  <c r="AB176" i="180" s="1"/>
  <c r="O15" i="206"/>
  <c r="AA176" i="180"/>
  <c r="S176" i="180"/>
  <c r="AC149" i="180"/>
  <c r="U149" i="180"/>
  <c r="E14" i="176" l="1"/>
  <c r="I13" i="2"/>
  <c r="I14" i="2" s="1"/>
  <c r="F84" i="176"/>
  <c r="F85" i="176" s="1"/>
  <c r="C22" i="209"/>
  <c r="C18" i="209"/>
  <c r="C27" i="209" s="1"/>
  <c r="B77" i="209" s="1"/>
  <c r="B91" i="209" s="1"/>
  <c r="T125" i="180"/>
  <c r="AB16" i="92"/>
  <c r="H10" i="44" l="1"/>
  <c r="E13" i="175"/>
  <c r="H124" i="44"/>
  <c r="H125" i="44" s="1"/>
  <c r="U125" i="180"/>
  <c r="T128" i="180"/>
  <c r="AC125" i="180"/>
  <c r="H126" i="44" l="1"/>
  <c r="I123" i="44"/>
  <c r="M13" i="175"/>
  <c r="I13" i="175"/>
  <c r="H13" i="2"/>
  <c r="H14" i="2" s="1"/>
  <c r="H13" i="176"/>
  <c r="I13" i="176" s="1"/>
  <c r="E14" i="175"/>
  <c r="E90" i="175"/>
  <c r="AC128" i="180"/>
  <c r="T176" i="180"/>
  <c r="U128" i="180"/>
  <c r="E91" i="175" l="1"/>
  <c r="E85" i="176" s="1"/>
  <c r="E84" i="176"/>
  <c r="I14" i="175"/>
  <c r="H14" i="176"/>
  <c r="I14" i="176" s="1"/>
  <c r="H128" i="44"/>
  <c r="H16" i="172"/>
  <c r="H11" i="44"/>
  <c r="H12" i="44" s="1"/>
  <c r="H14" i="44" s="1"/>
  <c r="H16" i="44" s="1"/>
  <c r="E32" i="175" s="1"/>
  <c r="U176" i="180"/>
  <c r="AC176" i="180"/>
  <c r="E30" i="175" l="1"/>
  <c r="H18" i="172"/>
  <c r="H32" i="2"/>
  <c r="H28" i="176"/>
  <c r="I32" i="175"/>
  <c r="H30" i="2" l="1"/>
  <c r="H26" i="176"/>
  <c r="H33" i="176" s="1"/>
  <c r="H40" i="176" s="1"/>
  <c r="H41" i="176" s="1"/>
  <c r="I30" i="175"/>
  <c r="E37" i="175"/>
  <c r="H43" i="176"/>
  <c r="E44" i="175" l="1"/>
  <c r="K17" i="173"/>
  <c r="H37" i="2"/>
  <c r="H44" i="2" s="1"/>
  <c r="H45" i="2" s="1"/>
  <c r="H47" i="2" s="1"/>
  <c r="H50" i="2" s="1"/>
  <c r="H45" i="176"/>
  <c r="E92" i="175" l="1"/>
  <c r="E86" i="176" s="1"/>
  <c r="E45" i="175"/>
  <c r="H8" i="2"/>
  <c r="H10" i="2" s="1"/>
  <c r="K11" i="77" s="1"/>
  <c r="E47" i="175" l="1"/>
  <c r="D11" i="177"/>
  <c r="E9" i="207"/>
  <c r="K12" i="77"/>
  <c r="K14" i="77" s="1"/>
  <c r="E8" i="175" l="1"/>
  <c r="F16" i="129"/>
  <c r="E49" i="175"/>
  <c r="H8" i="176"/>
  <c r="E10" i="175"/>
  <c r="I8" i="175"/>
  <c r="E15" i="207"/>
  <c r="E10" i="207"/>
  <c r="K17" i="77"/>
  <c r="K8" i="207" s="1"/>
  <c r="I8" i="2"/>
  <c r="I10" i="2" s="1"/>
  <c r="L11" i="77" s="1"/>
  <c r="B38" i="209" s="1"/>
  <c r="D54" i="209" l="1"/>
  <c r="D55" i="209" s="1"/>
  <c r="D57" i="209" s="1"/>
  <c r="H77" i="209"/>
  <c r="G37" i="209"/>
  <c r="D44" i="209"/>
  <c r="D45" i="209" s="1"/>
  <c r="D47" i="209" s="1"/>
  <c r="E38" i="209"/>
  <c r="E39" i="209" s="1"/>
  <c r="F29" i="129"/>
  <c r="F31" i="129" s="1"/>
  <c r="F19" i="129"/>
  <c r="F20" i="129" s="1"/>
  <c r="E16" i="207"/>
  <c r="E56" i="207" s="1"/>
  <c r="E82" i="175"/>
  <c r="I10" i="175"/>
  <c r="H10" i="176"/>
  <c r="E25" i="207"/>
  <c r="E52" i="207"/>
  <c r="E31" i="207"/>
  <c r="E42" i="207"/>
  <c r="K18" i="77"/>
  <c r="K20" i="77" s="1"/>
  <c r="K27" i="77" s="1"/>
  <c r="K29" i="77" s="1"/>
  <c r="D12" i="177"/>
  <c r="F9" i="207"/>
  <c r="L12" i="77"/>
  <c r="L14" i="77" s="1"/>
  <c r="D49" i="209" l="1"/>
  <c r="D48" i="209"/>
  <c r="G60" i="209" s="1"/>
  <c r="E8" i="176"/>
  <c r="G16" i="129"/>
  <c r="E63" i="207"/>
  <c r="E36" i="207"/>
  <c r="E43" i="207" s="1"/>
  <c r="H78" i="209"/>
  <c r="H91" i="209"/>
  <c r="E46" i="207"/>
  <c r="E53" i="207" s="1"/>
  <c r="I8" i="176"/>
  <c r="E10" i="176"/>
  <c r="E76" i="176"/>
  <c r="E77" i="176" s="1"/>
  <c r="E83" i="175"/>
  <c r="E32" i="207"/>
  <c r="F15" i="207"/>
  <c r="F10" i="207"/>
  <c r="F16" i="207" s="1"/>
  <c r="F56" i="207" s="1"/>
  <c r="L17" i="77"/>
  <c r="L8" i="207" s="1"/>
  <c r="G29" i="129" l="1"/>
  <c r="G31" i="129" s="1"/>
  <c r="G19" i="129"/>
  <c r="G20" i="129" s="1"/>
  <c r="H79" i="209"/>
  <c r="H92" i="209"/>
  <c r="I10" i="176"/>
  <c r="F76" i="176"/>
  <c r="F77" i="176" s="1"/>
  <c r="F42" i="207"/>
  <c r="F31" i="207"/>
  <c r="F63" i="207" s="1"/>
  <c r="F52" i="207"/>
  <c r="F36" i="207"/>
  <c r="F43" i="207" s="1"/>
  <c r="F46" i="207"/>
  <c r="F25" i="207"/>
  <c r="F32" i="207" s="1"/>
  <c r="L18" i="77"/>
  <c r="L20" i="77" s="1"/>
  <c r="L27" i="77" s="1"/>
  <c r="L29" i="77" s="1"/>
  <c r="F53" i="207" l="1"/>
  <c r="H80" i="209"/>
  <c r="H93" i="209"/>
  <c r="E17" i="173"/>
  <c r="F17" i="173"/>
  <c r="F22" i="173" s="1"/>
  <c r="F29" i="173" s="1"/>
  <c r="E22" i="173"/>
  <c r="E29" i="173" s="1"/>
  <c r="K22" i="173"/>
  <c r="K29" i="173" s="1"/>
  <c r="H81" i="209" l="1"/>
  <c r="H95" i="209" s="1"/>
  <c r="H94" i="209"/>
  <c r="G17" i="173"/>
  <c r="G22" i="173" s="1"/>
  <c r="G29" i="173" s="1"/>
  <c r="D29" i="173" l="1"/>
  <c r="C29" i="173"/>
  <c r="N229" i="102" l="1"/>
  <c r="N232" i="102" s="1"/>
  <c r="N236" i="102" s="1"/>
  <c r="J230" i="102"/>
  <c r="J98" i="185" s="1"/>
  <c r="M98" i="185" s="1"/>
  <c r="J229" i="102"/>
  <c r="J97" i="185" l="1"/>
  <c r="J232" i="102"/>
  <c r="J236" i="102" s="1"/>
  <c r="AL98" i="185"/>
  <c r="L230" i="102"/>
  <c r="O230" i="102" s="1"/>
  <c r="P230" i="102" s="1"/>
  <c r="AK98" i="185" l="1"/>
  <c r="EI98" i="185"/>
  <c r="AL97" i="185"/>
  <c r="AQ98" i="185"/>
  <c r="AP98" i="185" s="1"/>
  <c r="J113" i="185"/>
  <c r="M97" i="185"/>
  <c r="E84" i="174"/>
  <c r="EE114" i="185"/>
  <c r="J237" i="102"/>
  <c r="M113" i="185" l="1"/>
  <c r="AK97" i="185"/>
  <c r="AL113" i="185"/>
  <c r="AK113" i="185" s="1"/>
  <c r="EI97" i="185"/>
  <c r="AQ97" i="185"/>
  <c r="L229" i="102"/>
  <c r="E87" i="174"/>
  <c r="D78" i="176"/>
  <c r="D81" i="176" s="1"/>
  <c r="EN98" i="185"/>
  <c r="EH98" i="185"/>
  <c r="O229" i="102" l="1"/>
  <c r="L232" i="102"/>
  <c r="L236" i="102" s="1"/>
  <c r="EM98" i="185"/>
  <c r="EO98" i="185"/>
  <c r="EP98" i="185"/>
  <c r="EH97" i="185"/>
  <c r="EN97" i="185"/>
  <c r="EI113" i="185"/>
  <c r="EH113" i="185" s="1"/>
  <c r="AP97" i="185"/>
  <c r="AQ113" i="185"/>
  <c r="EO97" i="185" l="1"/>
  <c r="EM97" i="185"/>
  <c r="EN113" i="185"/>
  <c r="EP97" i="185"/>
  <c r="D126" i="185"/>
  <c r="D136" i="185" s="1"/>
  <c r="D137" i="185" s="1"/>
  <c r="AP113" i="185"/>
  <c r="P229" i="102"/>
  <c r="O232" i="102"/>
  <c r="O236" i="102" l="1"/>
  <c r="P232" i="102"/>
  <c r="EO113" i="185"/>
  <c r="EM113" i="185"/>
  <c r="EP113" i="185"/>
  <c r="P236" i="102" l="1"/>
  <c r="E17" i="174"/>
  <c r="F17" i="2" l="1"/>
  <c r="F37" i="2" s="1"/>
  <c r="F44" i="2" s="1"/>
  <c r="F45" i="2" s="1"/>
  <c r="F47" i="2" s="1"/>
  <c r="F50" i="2" s="1"/>
  <c r="F52" i="2" s="1"/>
  <c r="F17" i="174"/>
  <c r="E37" i="174"/>
  <c r="E44" i="174" s="1"/>
  <c r="E45" i="174" s="1"/>
  <c r="E47" i="174" s="1"/>
  <c r="E49" i="174" s="1"/>
  <c r="G17" i="2" l="1"/>
  <c r="H17" i="175"/>
  <c r="F37" i="174"/>
  <c r="F44" i="174" s="1"/>
  <c r="F53" i="2"/>
  <c r="F54" i="2" s="1"/>
  <c r="F45" i="174" l="1"/>
  <c r="F47" i="174" s="1"/>
  <c r="F49" i="174" s="1"/>
  <c r="E92" i="174"/>
  <c r="D86" i="176" s="1"/>
  <c r="I17" i="175"/>
  <c r="H37" i="175"/>
  <c r="D12" i="73"/>
  <c r="D21" i="73" s="1"/>
  <c r="D22" i="73" s="1"/>
  <c r="G37" i="2"/>
  <c r="G44" i="2" s="1"/>
  <c r="G45" i="2" s="1"/>
  <c r="G47" i="2" s="1"/>
  <c r="G50" i="2" s="1"/>
  <c r="G52" i="2" s="1"/>
  <c r="G53" i="2" s="1"/>
  <c r="G54" i="2" s="1"/>
  <c r="D23" i="73" l="1"/>
  <c r="H51" i="2"/>
  <c r="H44" i="175"/>
  <c r="I37" i="175"/>
  <c r="H45" i="175" l="1"/>
  <c r="I44" i="175"/>
  <c r="H52" i="2"/>
  <c r="H53" i="2"/>
  <c r="K30" i="173" s="1"/>
  <c r="D38" i="74"/>
  <c r="E34" i="75"/>
  <c r="E35" i="75" s="1"/>
  <c r="D24" i="73"/>
  <c r="D31" i="73" l="1"/>
  <c r="D35" i="73" s="1"/>
  <c r="D42" i="73" s="1"/>
  <c r="D44" i="74" s="1"/>
  <c r="D42" i="74" s="1"/>
  <c r="D65" i="74" s="1"/>
  <c r="E8" i="75"/>
  <c r="E21" i="75" s="1"/>
  <c r="E37" i="75" s="1"/>
  <c r="E60" i="75" s="1"/>
  <c r="E62" i="75" s="1"/>
  <c r="D30" i="74" s="1"/>
  <c r="D25" i="74" s="1"/>
  <c r="D37" i="74" s="1"/>
  <c r="D39" i="74" s="1"/>
  <c r="E30" i="173"/>
  <c r="E31" i="173" s="1"/>
  <c r="F30" i="173"/>
  <c r="K31" i="173"/>
  <c r="H54" i="2"/>
  <c r="I51" i="2" s="1"/>
  <c r="H47" i="175"/>
  <c r="I45" i="175"/>
  <c r="H49" i="175" l="1"/>
  <c r="I49" i="175" s="1"/>
  <c r="I47" i="175"/>
  <c r="G30" i="173"/>
  <c r="G31" i="173" s="1"/>
  <c r="C31" i="173" s="1"/>
  <c r="F31" i="173"/>
  <c r="D31" i="173" s="1"/>
  <c r="F65" i="74"/>
  <c r="I30" i="2"/>
  <c r="I32" i="2"/>
  <c r="I37" i="2"/>
  <c r="I44" i="2"/>
  <c r="I45" i="2"/>
  <c r="I47" i="2"/>
  <c r="I50" i="2"/>
  <c r="K51" i="2"/>
  <c r="L51" i="2"/>
  <c r="I52" i="2"/>
  <c r="L52" i="2"/>
  <c r="I53" i="2"/>
  <c r="I54" i="2"/>
  <c r="E26" i="176"/>
  <c r="I26" i="176"/>
  <c r="E28" i="176"/>
  <c r="I28" i="176"/>
  <c r="E33" i="176"/>
  <c r="I33" i="176"/>
  <c r="E40" i="176"/>
  <c r="I40" i="176"/>
  <c r="E41" i="176"/>
  <c r="I41" i="176"/>
  <c r="E43" i="176"/>
  <c r="I43" i="176"/>
  <c r="E45" i="176"/>
  <c r="I45" i="176"/>
  <c r="F86" i="176"/>
  <c r="I16" i="172"/>
  <c r="I18" i="172"/>
  <c r="I10" i="44"/>
  <c r="I11" i="44"/>
  <c r="I12" i="44"/>
  <c r="I14" i="44"/>
  <c r="I16" i="44"/>
  <c r="I124" i="44"/>
  <c r="I125" i="44"/>
  <c r="I126" i="44"/>
  <c r="I128" i="44"/>
  <c r="E50" i="173"/>
  <c r="F50" i="173"/>
  <c r="G50" i="173"/>
  <c r="K50" i="173"/>
  <c r="E55" i="173"/>
  <c r="F55" i="173"/>
  <c r="G55" i="173"/>
  <c r="K55" i="173"/>
  <c r="C62" i="173"/>
  <c r="D62" i="173"/>
  <c r="E62" i="173"/>
  <c r="F62" i="173"/>
  <c r="G62" i="173"/>
  <c r="K62" i="173"/>
  <c r="E63" i="173"/>
  <c r="F63" i="173"/>
  <c r="G63" i="173"/>
  <c r="K63" i="173"/>
  <c r="C64" i="173"/>
  <c r="D64" i="173"/>
  <c r="E64" i="173"/>
  <c r="F64" i="173"/>
  <c r="G64" i="173"/>
  <c r="K64" i="173"/>
  <c r="C6" i="209"/>
  <c r="C8" i="209"/>
  <c r="C21" i="209"/>
  <c r="C23" i="209"/>
  <c r="C28" i="209"/>
  <c r="C29" i="209"/>
  <c r="C30" i="209"/>
  <c r="C31" i="209"/>
  <c r="D65" i="209"/>
  <c r="D66" i="209"/>
  <c r="D67" i="209"/>
  <c r="D69" i="209"/>
  <c r="I77" i="209"/>
  <c r="J77" i="209"/>
  <c r="K77" i="209"/>
  <c r="B78" i="209"/>
  <c r="I78" i="209"/>
  <c r="J78" i="209"/>
  <c r="K78" i="209"/>
  <c r="B79" i="209"/>
  <c r="I79" i="209"/>
  <c r="J79" i="209"/>
  <c r="K79" i="209"/>
  <c r="B80" i="209"/>
  <c r="I80" i="209"/>
  <c r="J80" i="209"/>
  <c r="K80" i="209"/>
  <c r="B81" i="209"/>
  <c r="I81" i="209"/>
  <c r="J81" i="209"/>
  <c r="K81" i="209"/>
  <c r="D85" i="209"/>
  <c r="E85" i="209"/>
  <c r="F85" i="209"/>
  <c r="G85" i="209"/>
  <c r="D86" i="209"/>
  <c r="E86" i="209"/>
  <c r="F86" i="209"/>
  <c r="G86" i="209"/>
  <c r="D87" i="209"/>
  <c r="I91" i="209"/>
  <c r="J91" i="209"/>
  <c r="B92" i="209"/>
  <c r="I92" i="209"/>
  <c r="J92" i="209"/>
  <c r="B93" i="209"/>
  <c r="I93" i="209"/>
  <c r="J93" i="209"/>
  <c r="B94" i="209"/>
  <c r="I94" i="209"/>
  <c r="J94" i="209"/>
  <c r="B95" i="209"/>
  <c r="I95" i="209"/>
  <c r="J95" i="209"/>
  <c r="D98" i="209"/>
  <c r="E101" i="209"/>
  <c r="F101" i="209"/>
  <c r="G101" i="209"/>
  <c r="E102" i="209"/>
  <c r="F102" i="209"/>
  <c r="G102" i="209"/>
  <c r="E103" i="20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Ashit Kumar</author>
  </authors>
  <commentList>
    <comment ref="C9" authorId="0" shapeId="0" xr:uid="{4B95CD9D-EA13-4F0A-B646-B8A0C4E3F760}">
      <text>
        <r>
          <rPr>
            <b/>
            <sz val="9"/>
            <color indexed="81"/>
            <rFont val="Tahoma"/>
            <family val="2"/>
          </rPr>
          <t>Ashit Kumar:</t>
        </r>
        <r>
          <rPr>
            <sz val="9"/>
            <color indexed="81"/>
            <rFont val="Tahoma"/>
            <family val="2"/>
          </rPr>
          <t xml:space="preserve">
To be included in Capitalizaton format</t>
        </r>
      </text>
    </comment>
    <comment ref="C12" authorId="0" shapeId="0" xr:uid="{BE0A8A0B-D19B-48C5-8FE6-919CC3FD8774}">
      <text>
        <r>
          <rPr>
            <b/>
            <sz val="9"/>
            <color indexed="81"/>
            <rFont val="Tahoma"/>
            <family val="2"/>
          </rPr>
          <t>Ashit Kumar:</t>
        </r>
        <r>
          <rPr>
            <sz val="9"/>
            <color indexed="81"/>
            <rFont val="Tahoma"/>
            <family val="2"/>
          </rPr>
          <t xml:space="preserve">
To be included in Capitalizaton format</t>
        </r>
      </text>
    </comment>
    <comment ref="C15" authorId="0" shapeId="0" xr:uid="{198E9302-D451-4516-AB46-1A934F6E1625}">
      <text>
        <r>
          <rPr>
            <b/>
            <sz val="9"/>
            <color indexed="81"/>
            <rFont val="Tahoma"/>
            <family val="2"/>
          </rPr>
          <t>Ashit Kumar:</t>
        </r>
        <r>
          <rPr>
            <sz val="9"/>
            <color indexed="81"/>
            <rFont val="Tahoma"/>
            <family val="2"/>
          </rPr>
          <t xml:space="preserve">
To be included in Capitalizaton format</t>
        </r>
      </text>
    </comment>
  </commentList>
</comments>
</file>

<file path=xl/sharedStrings.xml><?xml version="1.0" encoding="utf-8"?>
<sst xmlns="http://schemas.openxmlformats.org/spreadsheetml/2006/main" count="6771" uniqueCount="2247">
  <si>
    <t>Statement of Capital Cost</t>
  </si>
  <si>
    <t>Statement of Capital Works in Progress</t>
  </si>
  <si>
    <t>R&amp;M Expenses</t>
  </si>
  <si>
    <t>Employee Expenses</t>
  </si>
  <si>
    <t>Consumer contributions and grants towards cost of capital assets</t>
  </si>
  <si>
    <t>Working Capital Requirements</t>
  </si>
  <si>
    <t>Details of Non-tariff Income</t>
  </si>
  <si>
    <t>Income Tax Provisions</t>
  </si>
  <si>
    <t>S.No</t>
  </si>
  <si>
    <t xml:space="preserve">Annual Revenue Requirement </t>
  </si>
  <si>
    <t>Particulars</t>
  </si>
  <si>
    <t>I.</t>
  </si>
  <si>
    <t>II.</t>
  </si>
  <si>
    <t>III.</t>
  </si>
  <si>
    <t>Receipts</t>
  </si>
  <si>
    <t>a</t>
  </si>
  <si>
    <t>b</t>
  </si>
  <si>
    <t>c</t>
  </si>
  <si>
    <t>Total</t>
  </si>
  <si>
    <t>Expenditure</t>
  </si>
  <si>
    <t>d</t>
  </si>
  <si>
    <t>Depreciation</t>
  </si>
  <si>
    <t>e</t>
  </si>
  <si>
    <t>f</t>
  </si>
  <si>
    <t>g</t>
  </si>
  <si>
    <t>Contribution towards Contingency Fund</t>
  </si>
  <si>
    <t>h</t>
  </si>
  <si>
    <t>Calculation of Depreciation Rate</t>
  </si>
  <si>
    <t>Return on Equity</t>
  </si>
  <si>
    <t>F1</t>
  </si>
  <si>
    <t>F2</t>
  </si>
  <si>
    <t>Control Period</t>
  </si>
  <si>
    <t>A</t>
  </si>
  <si>
    <t>B</t>
  </si>
  <si>
    <t>Unit</t>
  </si>
  <si>
    <t>%</t>
  </si>
  <si>
    <t>Tax Rate</t>
  </si>
  <si>
    <t>Rs Crores</t>
  </si>
  <si>
    <t>Sl. No.</t>
  </si>
  <si>
    <t>C</t>
  </si>
  <si>
    <t>D</t>
  </si>
  <si>
    <t>E</t>
  </si>
  <si>
    <t>F</t>
  </si>
  <si>
    <t>Note:</t>
  </si>
  <si>
    <t>Sl.No.</t>
  </si>
  <si>
    <t xml:space="preserve">Employee Expenses </t>
  </si>
  <si>
    <t>Salaries</t>
  </si>
  <si>
    <t>Additional Pay</t>
  </si>
  <si>
    <t>Dearness Allowance (DA)</t>
  </si>
  <si>
    <t>Other Allowances &amp; Relief</t>
  </si>
  <si>
    <t>Addl. Pay &amp;  C.Off Encashment</t>
  </si>
  <si>
    <t>Interim Relief / Wage Revision</t>
  </si>
  <si>
    <t>Honorarium/Overtime</t>
  </si>
  <si>
    <t>Bonus/ Exgratia To Employees</t>
  </si>
  <si>
    <t>Medical Expenses Reimbursement</t>
  </si>
  <si>
    <t>Travelling Allowance(Conveyance Allowance)</t>
  </si>
  <si>
    <t>Leave Travel Assistance</t>
  </si>
  <si>
    <t>Earned Leave Encashment</t>
  </si>
  <si>
    <t>Payment Under Workman's Compensation And Gratuity</t>
  </si>
  <si>
    <t>Subsidised Electricity To Employees</t>
  </si>
  <si>
    <t>Any Other Item</t>
  </si>
  <si>
    <t>Staff Welfare Expenses</t>
  </si>
  <si>
    <t>Apprentice And Other Training Expenses</t>
  </si>
  <si>
    <t>Contribution To Terminal Benefits</t>
  </si>
  <si>
    <t>Provident Fund Contribution</t>
  </si>
  <si>
    <t>Provision for PF Fund</t>
  </si>
  <si>
    <t>Total Employee Costs</t>
  </si>
  <si>
    <t>Less: Employee expenses capitalised</t>
  </si>
  <si>
    <t>TOTAL</t>
  </si>
  <si>
    <t>Equity (Opening Balance)</t>
  </si>
  <si>
    <t>Net additions during the year</t>
  </si>
  <si>
    <t>Equity (Closing Balance)</t>
  </si>
  <si>
    <t xml:space="preserve">Average Equity </t>
  </si>
  <si>
    <t>Rate of Return on Equity</t>
  </si>
  <si>
    <t>S.No.</t>
  </si>
  <si>
    <t>*</t>
  </si>
  <si>
    <t>O&amp;M expenses for 1 month</t>
  </si>
  <si>
    <t>Total Working Capital</t>
  </si>
  <si>
    <t xml:space="preserve">Interest on Working Capital </t>
  </si>
  <si>
    <t>Grand Total</t>
  </si>
  <si>
    <t>Remarks</t>
  </si>
  <si>
    <t>Sl.No</t>
  </si>
  <si>
    <t>i</t>
  </si>
  <si>
    <t>ii</t>
  </si>
  <si>
    <t>Income from other Business</t>
  </si>
  <si>
    <t>A.</t>
  </si>
  <si>
    <t>iii</t>
  </si>
  <si>
    <t>Income Tax</t>
  </si>
  <si>
    <t>Non tariff income</t>
  </si>
  <si>
    <t>j</t>
  </si>
  <si>
    <t>G</t>
  </si>
  <si>
    <t>H</t>
  </si>
  <si>
    <t>I</t>
  </si>
  <si>
    <t>Rs. Crores</t>
  </si>
  <si>
    <t xml:space="preserve">Less: </t>
  </si>
  <si>
    <t>Income exempt from taxation</t>
  </si>
  <si>
    <t>Income from Incentives</t>
  </si>
  <si>
    <t>Credits for  carry forward of losses</t>
  </si>
  <si>
    <t>Net Taxable Income</t>
  </si>
  <si>
    <t>Tax Amount</t>
  </si>
  <si>
    <t>Tax Recoverable from  Consumers (Lower of A or B)</t>
  </si>
  <si>
    <t>Income of FY</t>
  </si>
  <si>
    <t>II</t>
  </si>
  <si>
    <t>III</t>
  </si>
  <si>
    <t>X</t>
  </si>
  <si>
    <t>Less:    Security deposits from consumers, if any</t>
  </si>
  <si>
    <t>`</t>
  </si>
  <si>
    <t>Lease/ Rent</t>
  </si>
  <si>
    <t>Insurance</t>
  </si>
  <si>
    <t>Revenue Stamp Expenses Account</t>
  </si>
  <si>
    <t>Telephone, Postage, Telegram &amp; Telex Charges</t>
  </si>
  <si>
    <t>Incentive &amp; Award To Employees/Outsiders</t>
  </si>
  <si>
    <t>Consultancy Charges</t>
  </si>
  <si>
    <t>Technical Fees</t>
  </si>
  <si>
    <t>Other Professional Charges</t>
  </si>
  <si>
    <t>Conveyance And Travelling</t>
  </si>
  <si>
    <t>License and Registration Fees</t>
  </si>
  <si>
    <t>Vehicle Expenses</t>
  </si>
  <si>
    <t>Security / Service Charges Paid To Outside Agencies</t>
  </si>
  <si>
    <t>Fee And Subscriptions Books And Periodicals</t>
  </si>
  <si>
    <t>Printing And Stationery</t>
  </si>
  <si>
    <t>Advertisement Expenses</t>
  </si>
  <si>
    <t>Electricity Charges To Offices</t>
  </si>
  <si>
    <t>Water Charges</t>
  </si>
  <si>
    <t>Entertainment Charges</t>
  </si>
  <si>
    <t>Miscellaneous Expenses</t>
  </si>
  <si>
    <t>Auditor's Fee</t>
  </si>
  <si>
    <t>Freight On Capital Equipments</t>
  </si>
  <si>
    <t>Purchase Related Advertisement Expenses</t>
  </si>
  <si>
    <t>Vehicle Running Expenses Truck / Delivery Van</t>
  </si>
  <si>
    <t>Vehicle Hiring Expenses Truck / Delivery Van</t>
  </si>
  <si>
    <t>Other Freight</t>
  </si>
  <si>
    <t>Transit Insurance</t>
  </si>
  <si>
    <t>Octroi</t>
  </si>
  <si>
    <t>Incidental Stores Expenses</t>
  </si>
  <si>
    <t>Fabrication Charges</t>
  </si>
  <si>
    <t>Total A&amp;G Expenes</t>
  </si>
  <si>
    <t>Less: A&amp;G Expenses Capitalised</t>
  </si>
  <si>
    <t>Consumer Price Inflation</t>
  </si>
  <si>
    <t>A1</t>
  </si>
  <si>
    <t>Statement of Receivables</t>
  </si>
  <si>
    <t>Other Current Assets</t>
  </si>
  <si>
    <t>Other Income</t>
  </si>
  <si>
    <t xml:space="preserve">Total </t>
  </si>
  <si>
    <t>Category</t>
  </si>
  <si>
    <t>Revenue billed for the year</t>
  </si>
  <si>
    <t>Gross receivable from customers as at the end of the year</t>
  </si>
  <si>
    <t>Source of Loan</t>
  </si>
  <si>
    <t>Notes:</t>
  </si>
  <si>
    <t>Profit &amp; Loss Account</t>
  </si>
  <si>
    <t>Balance Sheet</t>
  </si>
  <si>
    <t>Failure of Transformers</t>
  </si>
  <si>
    <t>Energy Balance</t>
  </si>
  <si>
    <t>Sub-Total</t>
  </si>
  <si>
    <t>Cash Flow Statement</t>
  </si>
  <si>
    <t>J</t>
  </si>
  <si>
    <t>Consumer Complaint</t>
  </si>
  <si>
    <t>Electrical Accidents</t>
  </si>
  <si>
    <t>Sale of Power (MU)</t>
  </si>
  <si>
    <t>Distribution Loss (%)</t>
  </si>
  <si>
    <t>Net Annual Revenue Requirement of Licensee(B-C)</t>
  </si>
  <si>
    <t>Shortfall/Excess before tariff revision impact (A-D)</t>
  </si>
  <si>
    <t>Shortfall/Excess after tariff revision impact (E+F)</t>
  </si>
  <si>
    <t>Cost of Power Procurement</t>
  </si>
  <si>
    <t>Transmission and Load Dispatch Charges</t>
  </si>
  <si>
    <t>Revenue from Tariff and Misc. Charges at current tariff rates</t>
  </si>
  <si>
    <t>April</t>
  </si>
  <si>
    <t>May</t>
  </si>
  <si>
    <t>June</t>
  </si>
  <si>
    <t>July</t>
  </si>
  <si>
    <t>August</t>
  </si>
  <si>
    <t>September</t>
  </si>
  <si>
    <t>November</t>
  </si>
  <si>
    <t>December</t>
  </si>
  <si>
    <t>February</t>
  </si>
  <si>
    <t>January</t>
  </si>
  <si>
    <t>October</t>
  </si>
  <si>
    <t>March</t>
  </si>
  <si>
    <t xml:space="preserve">No. of consumers </t>
  </si>
  <si>
    <t xml:space="preserve">Connected load/ contracted demand </t>
  </si>
  <si>
    <t xml:space="preserve">(in KW) </t>
  </si>
  <si>
    <t>(in MU)</t>
  </si>
  <si>
    <t>Audited</t>
  </si>
  <si>
    <t>Projected</t>
  </si>
  <si>
    <t xml:space="preserve">No.  of consumers </t>
  </si>
  <si>
    <t>Consumption- Slabwise (MU)</t>
  </si>
  <si>
    <t>Contract Demand/ Connected Load (KW /KVA /HP)</t>
  </si>
  <si>
    <t>Total Energy Charge Rs. Crs.</t>
  </si>
  <si>
    <t>GRAND TOTAL</t>
  </si>
  <si>
    <t>Contracted Capacity (MW)</t>
  </si>
  <si>
    <t xml:space="preserve">CAGR </t>
  </si>
  <si>
    <t>Summary of Power Purchase from Own Stations and Other Sources</t>
  </si>
  <si>
    <t>Sl No</t>
  </si>
  <si>
    <t>Source</t>
  </si>
  <si>
    <t>Plant Capacity (MW)</t>
  </si>
  <si>
    <t>UP's Share in %</t>
  </si>
  <si>
    <t>UP's Share in MW</t>
  </si>
  <si>
    <t>MW</t>
  </si>
  <si>
    <t>MU</t>
  </si>
  <si>
    <t>Total Cost</t>
  </si>
  <si>
    <t>Percentage</t>
  </si>
  <si>
    <t xml:space="preserve">Statement of Assets Not in Use </t>
  </si>
  <si>
    <t>Date of Acquisition/Installation</t>
  </si>
  <si>
    <t>Historical Cost/Cost of Acquisition</t>
  </si>
  <si>
    <t xml:space="preserve">Date of withdrawal operations </t>
  </si>
  <si>
    <t>Accumulated Depreciation on date of withdrawal</t>
  </si>
  <si>
    <t>Written down value on date of withdrawal</t>
  </si>
  <si>
    <t>Additions during the Year</t>
  </si>
  <si>
    <t>Balance at the end of the Year</t>
  </si>
  <si>
    <t xml:space="preserve"> Total</t>
  </si>
  <si>
    <t>Opening Gross Block Amount as per books</t>
  </si>
  <si>
    <t>Additions in Gross Block Amount as per books</t>
  </si>
  <si>
    <t>Closing Gross Block Amount as per books</t>
  </si>
  <si>
    <t>Opening CWIP Amount as per books</t>
  </si>
  <si>
    <t>Addition/Adjustment in CWIP Amount during the period</t>
  </si>
  <si>
    <t>Capitalization/Transfer to Fixed asset of CWIP Amount during the period</t>
  </si>
  <si>
    <t>Closing CWIP Amount as per books</t>
  </si>
  <si>
    <t>iv</t>
  </si>
  <si>
    <t>v</t>
  </si>
  <si>
    <t>Additions</t>
  </si>
  <si>
    <t>Annual Average CPI Index</t>
  </si>
  <si>
    <t xml:space="preserve">Note </t>
  </si>
  <si>
    <t>Componentwise Details of Administration &amp; General Expenses</t>
  </si>
  <si>
    <t xml:space="preserve"> GRAND TOTAL</t>
  </si>
  <si>
    <t>Investment Plan - Master</t>
  </si>
  <si>
    <t>Project Details</t>
  </si>
  <si>
    <t>SOURCE OF FINANCING FOR SCHEME</t>
  </si>
  <si>
    <t>Project Start Date (DD-MM-YY)</t>
  </si>
  <si>
    <t>Project Completion date  (DD-MM-YY)</t>
  </si>
  <si>
    <t xml:space="preserve"> System Losses At 33 KV</t>
  </si>
  <si>
    <t>Energy received into the system</t>
  </si>
  <si>
    <t>Energy sold at this voltage level</t>
  </si>
  <si>
    <t>Energy transmitted to the next (lower) voltage level</t>
  </si>
  <si>
    <t>Energy Lost</t>
  </si>
  <si>
    <t>Total Loss in the system (4/1)*100%</t>
  </si>
  <si>
    <t xml:space="preserve"> Losses At 11 KV </t>
  </si>
  <si>
    <t>LT System Losses</t>
  </si>
  <si>
    <t>Total Loss in the system (3/1)*100%</t>
  </si>
  <si>
    <t xml:space="preserve"> Overall Losses</t>
  </si>
  <si>
    <t>Energy In (A1)</t>
  </si>
  <si>
    <t>Energy Out (A2+B2+C2+D2))</t>
  </si>
  <si>
    <t>Additions during the year</t>
  </si>
  <si>
    <t>Withdrawal from service</t>
  </si>
  <si>
    <t>At the end of year</t>
  </si>
  <si>
    <t>Length of lines (ckt-km)</t>
  </si>
  <si>
    <t>- 33kV</t>
  </si>
  <si>
    <t>- 11kV</t>
  </si>
  <si>
    <t>- LT</t>
  </si>
  <si>
    <t>Number of 33/11kV substations</t>
  </si>
  <si>
    <t>No. of Power Transformers</t>
  </si>
  <si>
    <t>Total MVA capacity of power transformers</t>
  </si>
  <si>
    <t>Number of consumer meters</t>
  </si>
  <si>
    <t>- LT (less than 0.5 accuracy class)</t>
  </si>
  <si>
    <t>- LT (better than 0.5 accuracy class)</t>
  </si>
  <si>
    <t>- HT (less than 0.5 accuracy class)</t>
  </si>
  <si>
    <t>- HT (0.2 accuracy class)</t>
  </si>
  <si>
    <t>- HT (better than 0.2 accuracy class)</t>
  </si>
  <si>
    <t>Number of Interface meters</t>
  </si>
  <si>
    <t>- 0.5 accuracy class</t>
  </si>
  <si>
    <t>- 0.2 accuracy class</t>
  </si>
  <si>
    <t>Arrears at the beginning of the year</t>
  </si>
  <si>
    <t>Billed during the year</t>
  </si>
  <si>
    <t>Realised during the year</t>
  </si>
  <si>
    <t>Arrears at the end of year</t>
  </si>
  <si>
    <t>Percentage increase (+) Decrease (-)</t>
  </si>
  <si>
    <t>NOTES:</t>
  </si>
  <si>
    <t>Sale of power within State</t>
  </si>
  <si>
    <t>Sale of power inter state</t>
  </si>
  <si>
    <t>Electricity duty</t>
  </si>
  <si>
    <t>Miscellaneious receipts from consumers</t>
  </si>
  <si>
    <t>Total (1+2+3+4+5+5-7)</t>
  </si>
  <si>
    <t>Details of litigation/disputes having dues more than Rs.10 lacs</t>
  </si>
  <si>
    <t>For arrears of 10 Lakh and above also provide consumer wise details</t>
  </si>
  <si>
    <t>Less provision for doubtful dues from consumers</t>
  </si>
  <si>
    <t>SL.NO.</t>
  </si>
  <si>
    <t>NO. OF COMPLAINTS RECEIVED DURING</t>
  </si>
  <si>
    <t>Interruption due to problem in LT supply</t>
  </si>
  <si>
    <t>(Fuse off call at aerial cutouts/Sealable cutouts,snapping of wires,falling of trees on overhead lines,fire due to short circuit of LT lines consequent to loose spans and touching of tree branches)</t>
  </si>
  <si>
    <t>Problems in metering and meter reading</t>
  </si>
  <si>
    <t>(Delay in replacement of non-recording meters, replacement of burnt out meter, replacement of meters recording excess consumption due to creeping, breakage of seals provided to the meter, mistakes in totaling by the MR while issuing the bills, wrong noting )</t>
  </si>
  <si>
    <t>Errors in billing</t>
  </si>
  <si>
    <t>(Excessive billing, amount already paid by consumer shown as arrears, wrong application of tariff, posting of wrong initial reading, showing the short claims in the monthly bill without furnishing the details to the consumer, wrong postings, i.e. postings</t>
  </si>
  <si>
    <t>Any other</t>
  </si>
  <si>
    <t>Number of Sub- Stations 11/0.4 KV</t>
  </si>
  <si>
    <t>IV</t>
  </si>
  <si>
    <t xml:space="preserve">Number of Feeders </t>
  </si>
  <si>
    <t xml:space="preserve">33 KV </t>
  </si>
  <si>
    <t>11 KV</t>
  </si>
  <si>
    <t>0.4 KV</t>
  </si>
  <si>
    <t>V</t>
  </si>
  <si>
    <t>VI</t>
  </si>
  <si>
    <t>Capcitor Banks installed  (Capacity in MVA)</t>
  </si>
  <si>
    <t>Feeder &amp; S/S details</t>
  </si>
  <si>
    <t xml:space="preserve">Reasons For Failure &amp; Corrective Actions proposed to minimise </t>
  </si>
  <si>
    <t xml:space="preserve">Total  numbers of Transformers </t>
  </si>
  <si>
    <t xml:space="preserve">Transformers damaged </t>
  </si>
  <si>
    <t>Power Transformer (HT)</t>
  </si>
  <si>
    <t xml:space="preserve">Rating </t>
  </si>
  <si>
    <t>Distribution Transformers</t>
  </si>
  <si>
    <t>LV</t>
  </si>
  <si>
    <t>First six months</t>
  </si>
  <si>
    <t>Second six months</t>
  </si>
  <si>
    <t>Peak Demand in MW</t>
  </si>
  <si>
    <t>Peak Period</t>
  </si>
  <si>
    <t>a) Winter</t>
  </si>
  <si>
    <t>b) Summer</t>
  </si>
  <si>
    <t>Maximum Peak Demand</t>
  </si>
  <si>
    <t>a) Restricted</t>
  </si>
  <si>
    <t>b) Unrestricted</t>
  </si>
  <si>
    <t xml:space="preserve">Peak Availability Assessed </t>
  </si>
  <si>
    <t>Shortfall in meeting Peak Demand</t>
  </si>
  <si>
    <t xml:space="preserve">Note: </t>
  </si>
  <si>
    <t>Period</t>
  </si>
  <si>
    <t>VII</t>
  </si>
  <si>
    <t>VIII</t>
  </si>
  <si>
    <t>D=A+B-C</t>
  </si>
  <si>
    <t>K</t>
  </si>
  <si>
    <t>L</t>
  </si>
  <si>
    <t xml:space="preserve">Tariff Revision Impact </t>
  </si>
  <si>
    <t>Govt. Subsidy Received/Declared</t>
  </si>
  <si>
    <t>Revenue from Open Access Customers</t>
  </si>
  <si>
    <t>Cross Subsidy Surcharge</t>
  </si>
  <si>
    <t>Additional Surcharge</t>
  </si>
  <si>
    <t xml:space="preserve"> Deductions</t>
  </si>
  <si>
    <t>Deductions</t>
  </si>
  <si>
    <t>(in '000)</t>
  </si>
  <si>
    <t xml:space="preserve">Total Energy Sales </t>
  </si>
  <si>
    <t xml:space="preserve">Months </t>
  </si>
  <si>
    <t xml:space="preserve">Long Term </t>
  </si>
  <si>
    <t xml:space="preserve">Short Term </t>
  </si>
  <si>
    <t xml:space="preserve">Power Procurement Planning  (in MWs) </t>
  </si>
  <si>
    <t>Interest on Working Capital</t>
  </si>
  <si>
    <t xml:space="preserve">Grand Total </t>
  </si>
  <si>
    <t xml:space="preserve">Net Employee expenses </t>
  </si>
  <si>
    <t xml:space="preserve">Notes:- Details of Load Rostering may be provided along with this format ie. in terms of MW, MU and number of hours per day. </t>
  </si>
  <si>
    <t xml:space="preserve"> </t>
  </si>
  <si>
    <t xml:space="preserve">True- Up </t>
  </si>
  <si>
    <t>Approved (in TO)</t>
  </si>
  <si>
    <t>Claimed</t>
  </si>
  <si>
    <t>FY 2020-21</t>
  </si>
  <si>
    <t>FY 2021-22</t>
  </si>
  <si>
    <t>FY 2022-23</t>
  </si>
  <si>
    <t>FY 2023-24</t>
  </si>
  <si>
    <t>FY 2024-25</t>
  </si>
  <si>
    <t>APR</t>
  </si>
  <si>
    <t>FY 2019-20</t>
  </si>
  <si>
    <t>Revised Estimates</t>
  </si>
  <si>
    <t>Trued- Up</t>
  </si>
  <si>
    <t>FY 2017-18</t>
  </si>
  <si>
    <t>Past years Data</t>
  </si>
  <si>
    <t>Trued-Up</t>
  </si>
  <si>
    <t>Past Year data</t>
  </si>
  <si>
    <t>FY ______</t>
  </si>
  <si>
    <t>FY _____</t>
  </si>
  <si>
    <t>Formulae</t>
  </si>
  <si>
    <t>Units</t>
  </si>
  <si>
    <t>True- Up</t>
  </si>
  <si>
    <t>Past year Data</t>
  </si>
  <si>
    <t>True-Up</t>
  </si>
  <si>
    <t>ASSETS</t>
  </si>
  <si>
    <t>(1)</t>
  </si>
  <si>
    <t>Non-current assets</t>
  </si>
  <si>
    <t>(a) Property, Plant and Enquipment</t>
  </si>
  <si>
    <t>(b) Capital work-in-progress</t>
  </si>
  <si>
    <t>(c) Investment Property</t>
  </si>
  <si>
    <t>(d) Goodwill</t>
  </si>
  <si>
    <t>(f) Intangible assets under development</t>
  </si>
  <si>
    <t>(g) Biological Assets other than bearer plants</t>
  </si>
  <si>
    <t>(h) Financial Assets</t>
  </si>
  <si>
    <t xml:space="preserve">   (i) Investments</t>
  </si>
  <si>
    <t xml:space="preserve">   (ii) Trade receivables</t>
  </si>
  <si>
    <t xml:space="preserve">   (iii) Loans</t>
  </si>
  <si>
    <t xml:space="preserve">   (iv) Others (to be specified)</t>
  </si>
  <si>
    <t>(i) Deferred tax assets (net)</t>
  </si>
  <si>
    <t>(2)</t>
  </si>
  <si>
    <t>Current assets</t>
  </si>
  <si>
    <t>(a) Inventories</t>
  </si>
  <si>
    <t>(b) Financial Assets</t>
  </si>
  <si>
    <t xml:space="preserve">   (i)     Trade receivables</t>
  </si>
  <si>
    <t xml:space="preserve">   (ii)   Cash and cash equivalents</t>
  </si>
  <si>
    <t xml:space="preserve">   (iii)  Bank balances other than Cash 
            and Cash equivalent</t>
  </si>
  <si>
    <t xml:space="preserve">   (v) Loans</t>
  </si>
  <si>
    <t xml:space="preserve">   (iv)  Others </t>
  </si>
  <si>
    <t>(c) Current Tax Assets (Net)</t>
  </si>
  <si>
    <t>EQUITY AND LIABILITIES</t>
  </si>
  <si>
    <t>EQUITY</t>
  </si>
  <si>
    <t>(a) Equity Share Capital</t>
  </si>
  <si>
    <t>(b) Other Equity</t>
  </si>
  <si>
    <t>LIABILITIES</t>
  </si>
  <si>
    <t>Non-current liabilities</t>
  </si>
  <si>
    <t>(a) Financial liabilities</t>
  </si>
  <si>
    <t xml:space="preserve">   (i) Borrowings</t>
  </si>
  <si>
    <t xml:space="preserve">   (ii) Trade payables</t>
  </si>
  <si>
    <t>(b) Provisions</t>
  </si>
  <si>
    <t>(c) Deferred tax liabilities (Net)</t>
  </si>
  <si>
    <t>Current liabilities</t>
  </si>
  <si>
    <t xml:space="preserve">   (iii) Other financial liabilities</t>
  </si>
  <si>
    <t>(b) Other current liabilities</t>
  </si>
  <si>
    <t>(c) Provisions</t>
  </si>
  <si>
    <t>(d) Current 'Tax Liabilities (Net)</t>
  </si>
  <si>
    <t>(e) Intangible assets</t>
  </si>
  <si>
    <t>(d) Other current assets</t>
  </si>
  <si>
    <t>(d) Other non-current liabilities</t>
  </si>
  <si>
    <t xml:space="preserve">   (iii) Other financial liabilities </t>
  </si>
  <si>
    <t>Regulatory deferral account balances</t>
  </si>
  <si>
    <t>Total assets and Regulatory deferral account balances</t>
  </si>
  <si>
    <t>Less: Adjustable in future Tariff</t>
  </si>
  <si>
    <t>Total Equity and Liabilities</t>
  </si>
  <si>
    <t>Total Assets</t>
  </si>
  <si>
    <t>Revenue From Operations</t>
  </si>
  <si>
    <t>Total Income (I+II)</t>
  </si>
  <si>
    <t>EXPENSES</t>
  </si>
  <si>
    <t>Changes in inventories of finished goods, Stock-in-Trade and work-in-progress</t>
  </si>
  <si>
    <t>Employee benefits expense</t>
  </si>
  <si>
    <t>Finance costs</t>
  </si>
  <si>
    <t>Depreciation and amortization expenses</t>
  </si>
  <si>
    <t>Other expenses</t>
  </si>
  <si>
    <t>Total expenses (IV)</t>
  </si>
  <si>
    <t>Profit/(Loss) before tax (V-VI)</t>
  </si>
  <si>
    <t>Tax expense:</t>
  </si>
  <si>
    <t>(1) Current tax</t>
  </si>
  <si>
    <t>(2) Deferred tax</t>
  </si>
  <si>
    <t>Profit (Loss) for the period from continuing operations (VI-VII)</t>
  </si>
  <si>
    <t>Profit/(Loss) from discontinued operations</t>
  </si>
  <si>
    <t>Tax expense of discontinued operations</t>
  </si>
  <si>
    <t>Other Comprehensive Income</t>
  </si>
  <si>
    <t>A (i) Items that will not be reclassified to profit or loss</t>
  </si>
  <si>
    <t>B (i) Items that will be reclassified to profit or loss</t>
  </si>
  <si>
    <t>Total Comprehensive Income for the period (XII+XIII) (Comprising Profit/(Loss) and Other Comprehensive Income for the period)</t>
  </si>
  <si>
    <t>Earnings per equity share (continuing operation) :</t>
  </si>
  <si>
    <t>Earnings per equity share (for discontinued operation) :</t>
  </si>
  <si>
    <t>Earnings per equity share (for discontinued &amp; continuing operations)</t>
  </si>
  <si>
    <t>IX</t>
  </si>
  <si>
    <t>XI</t>
  </si>
  <si>
    <t>XII</t>
  </si>
  <si>
    <t>XIII</t>
  </si>
  <si>
    <t>XIV</t>
  </si>
  <si>
    <t>XV</t>
  </si>
  <si>
    <t>XVI</t>
  </si>
  <si>
    <t>XVII</t>
  </si>
  <si>
    <t>XVIII</t>
  </si>
  <si>
    <t>a) Administrative, General &amp; Other Expenses</t>
  </si>
  <si>
    <t>c) Bad Debts &amp; Provisions</t>
  </si>
  <si>
    <t xml:space="preserve">   (ii) Income tax relating to items that will not be reclassified to profit or loss</t>
  </si>
  <si>
    <t xml:space="preserve">   (ii) Income tax relating to items that will be reclassified to profit or loss</t>
  </si>
  <si>
    <t>Purchase of electricity/ Stock-in-Trade</t>
  </si>
  <si>
    <t>Profit/(Loss) before rate regulated activites/ exceptional items and tax (III-IV)</t>
  </si>
  <si>
    <t>Movement in Regulatory deferral account Balance/ Exceptional Items</t>
  </si>
  <si>
    <t>(i) Provision for the year</t>
  </si>
  <si>
    <t>(ii) Adjustable in future year</t>
  </si>
  <si>
    <t>Total other comprehensive income for the year</t>
  </si>
  <si>
    <t>XIX</t>
  </si>
  <si>
    <t>CASH FLOW FROM OPERATING ACTIVITIES</t>
  </si>
  <si>
    <t>Adjustment for :</t>
  </si>
  <si>
    <t>Interest &amp; Financial charges</t>
  </si>
  <si>
    <t>Prior period Expenditure (Net)</t>
  </si>
  <si>
    <t>Fringe Benefit Tax</t>
  </si>
  <si>
    <t>SUB TOTAL</t>
  </si>
  <si>
    <t>Operating profit before working capital change</t>
  </si>
  <si>
    <t>Stores &amp; Spares</t>
  </si>
  <si>
    <t>Trade Receivables</t>
  </si>
  <si>
    <t>Other Advances</t>
  </si>
  <si>
    <t>Inter Unit Transfer</t>
  </si>
  <si>
    <t>Short Term Borrowings</t>
  </si>
  <si>
    <t>Trade Payables</t>
  </si>
  <si>
    <t>CASH FLOW FROM FINANCING ACTIVITIES</t>
  </si>
  <si>
    <t>Proceeds from borrowings</t>
  </si>
  <si>
    <t xml:space="preserve">       Increase from Borrowing</t>
  </si>
  <si>
    <t xml:space="preserve">       Repayment of Borrowing</t>
  </si>
  <si>
    <t>Proceeds from Share Capital</t>
  </si>
  <si>
    <t>Proceed from Share Application Money</t>
  </si>
  <si>
    <t>Proceeds from consumers contribution &amp; GoUP capital subsidy(Reserve &amp; Surplus)</t>
  </si>
  <si>
    <t>Other long term liabilities</t>
  </si>
  <si>
    <t>Accumulated losses as per transfer scheme transferred to PTCL</t>
  </si>
  <si>
    <t>NET INCREASE (DECREASE) IN CASH &amp; CASH EQUIVALENTS (A+B+C)</t>
  </si>
  <si>
    <t>Other Current Liabilities</t>
  </si>
  <si>
    <t>Other Financial Liabilities</t>
  </si>
  <si>
    <t>Net Profit/ (Loss) before Taxation &amp; Extraordinary items</t>
  </si>
  <si>
    <t>Loss on retirement of property. Plant and equipments/ intangible assets (net)</t>
  </si>
  <si>
    <t>Gain on sale of current investments</t>
  </si>
  <si>
    <t>Interest income</t>
  </si>
  <si>
    <t>Dividend income</t>
  </si>
  <si>
    <t>Bad Debts written off</t>
  </si>
  <si>
    <t>Provision for doubtful debts</t>
  </si>
  <si>
    <t>Other non- current assets</t>
  </si>
  <si>
    <t>Employee benefit Obligations</t>
  </si>
  <si>
    <t>Regulatory deferral accounts</t>
  </si>
  <si>
    <t>k</t>
  </si>
  <si>
    <t>l</t>
  </si>
  <si>
    <t>CASH FROM OPERATING ACTIVITIES (A)</t>
  </si>
  <si>
    <t>Income tax paid</t>
  </si>
  <si>
    <t>Decrease/ (Increase) in Fixed Assets</t>
  </si>
  <si>
    <t>Decrease/ (Increase) in Capital Work in Progress</t>
  </si>
  <si>
    <t>(Increase)/ Decrease in Investments</t>
  </si>
  <si>
    <t>Decrease/ (Increase) in Other Non-Current Assets</t>
  </si>
  <si>
    <t>Decrease/ (Increase) in Long Term Loans &amp; Advances</t>
  </si>
  <si>
    <t>Interest and Dividend Income</t>
  </si>
  <si>
    <t>Loans to employees</t>
  </si>
  <si>
    <t>NET CASH INFLOW FROM OPERATING ACTIVITIES (A)</t>
  </si>
  <si>
    <t>CASH FLOWS FROM INVESTING ACTIVITIES</t>
  </si>
  <si>
    <t>NET CASH OUTFLOW FROM INVESTING ACTIVITIES (B)</t>
  </si>
  <si>
    <t>Dividend paid</t>
  </si>
  <si>
    <t>Dividend distribution tax paid</t>
  </si>
  <si>
    <t>NET CASH OUTFLOW FROM FINANCING ACTIVITIES (C)</t>
  </si>
  <si>
    <t>CASH &amp; CASH EQUIVALENTS AT THE BEGINNING OF THE FINANCIAL YEAR</t>
  </si>
  <si>
    <t>CASH &amp; CASH EQUIVALENTS AT THE END OF THE FINANCIAL YEAR</t>
  </si>
  <si>
    <t>Total cost (Rs Crs.)</t>
  </si>
  <si>
    <t>Previous Year*</t>
  </si>
  <si>
    <t>Previous year of the Trued- Up year</t>
  </si>
  <si>
    <t>CAGR Formulae</t>
  </si>
  <si>
    <t>Overall Distribution Losses</t>
  </si>
  <si>
    <t> C</t>
  </si>
  <si>
    <t>Quantum</t>
  </si>
  <si>
    <t> D</t>
  </si>
  <si>
    <t>Energy requirement at Discom Periphery</t>
  </si>
  <si>
    <t>Intra State Transmission Losses</t>
  </si>
  <si>
    <t> G</t>
  </si>
  <si>
    <t>Total Energy requirement at UPPTCL Periphery</t>
  </si>
  <si>
    <t> H</t>
  </si>
  <si>
    <t>Energy Purchase from Stations connected to Inter State Transmission network</t>
  </si>
  <si>
    <t>Inter State Transmission Losses</t>
  </si>
  <si>
    <t>Net Energy Received from Stations connected to Inter State Transmission network at UPPTCL Periphery</t>
  </si>
  <si>
    <t>D=A+C</t>
  </si>
  <si>
    <t>G=D+F</t>
  </si>
  <si>
    <t>K=I(1-J)</t>
  </si>
  <si>
    <t>L=I+K</t>
  </si>
  <si>
    <t>1-(end value/beginning value)^(1/n)</t>
  </si>
  <si>
    <t>where, n is number of years</t>
  </si>
  <si>
    <t>Total Billed Amount (Rs Crs)</t>
  </si>
  <si>
    <t>Grant Towards Cost of Capital Assets</t>
  </si>
  <si>
    <t>Subsidies Towards Cost of Capital Asset</t>
  </si>
  <si>
    <t>Any Other Subsidy / Grant (Pls specify the source)</t>
  </si>
  <si>
    <t>Determination of CAGR of Energy Sales Forecast</t>
  </si>
  <si>
    <t>Note: However, in True- Up the formulae column may not be applicable , because of lower actual data.</t>
  </si>
  <si>
    <t>Past year data</t>
  </si>
  <si>
    <t>Type of Complaint</t>
  </si>
  <si>
    <t>Particulrs</t>
  </si>
  <si>
    <t>PPA-wise renewable energy procured</t>
  </si>
  <si>
    <t>Name of generator</t>
  </si>
  <si>
    <t>Location of Plant</t>
  </si>
  <si>
    <t>Year of PPA (DD/MM/YY)</t>
  </si>
  <si>
    <t>Capacity (MW)*</t>
  </si>
  <si>
    <t>Contract Duration (Years)</t>
  </si>
  <si>
    <t>Target CUF as per PPA#</t>
  </si>
  <si>
    <t>Applicable tariff (Rs/kWh)</t>
  </si>
  <si>
    <t>Generation (MU)</t>
  </si>
  <si>
    <t xml:space="preserve">*Including deration </t>
  </si>
  <si>
    <t># CUF refers to Capacity Utilisation Factor</t>
  </si>
  <si>
    <t>Rs. Cr</t>
  </si>
  <si>
    <t>Details for power procured via competitive bidding</t>
  </si>
  <si>
    <t xml:space="preserve">Particulars </t>
  </si>
  <si>
    <t>Developer 1</t>
  </si>
  <si>
    <t>Developer 2</t>
  </si>
  <si>
    <t>Developer 3</t>
  </si>
  <si>
    <t>Name of Developer</t>
  </si>
  <si>
    <t>PPA Capacity (MW)</t>
  </si>
  <si>
    <t>Plant Location</t>
  </si>
  <si>
    <t>Date of PPA (DD/MM/YY)</t>
  </si>
  <si>
    <t>Duration of PPA (Years)</t>
  </si>
  <si>
    <t>Scheduled delivery date (DD/MM/YY)</t>
  </si>
  <si>
    <t>Actual COD (DD/MM/YY)</t>
  </si>
  <si>
    <t>Type of bid (Case 1/Case 2/UMPP)</t>
  </si>
  <si>
    <t>Type of fuel (Imported/ Domestic)</t>
  </si>
  <si>
    <t>Tariff adoption order (ERC, Case No.,  and Date)</t>
  </si>
  <si>
    <t>Net Generation (MU)</t>
  </si>
  <si>
    <t>Normative availability as per PPA (%)</t>
  </si>
  <si>
    <t>Actual availability (%)</t>
  </si>
  <si>
    <t>Levelised Tariff payable as per PPA (Rs./kWh)</t>
  </si>
  <si>
    <t>Total Capacity charges (Rs./kWh)</t>
  </si>
  <si>
    <t>Escalable capacity charge component (in Rs/kWh)</t>
  </si>
  <si>
    <t>Non-Escalable capacity charge component (in Rs./kWh)</t>
  </si>
  <si>
    <t xml:space="preserve">Total Energy charges </t>
  </si>
  <si>
    <t>Escalable fuel charge component  (in Rs./kWh)</t>
  </si>
  <si>
    <t>Escalable fuel charge component (in $/kWh)</t>
  </si>
  <si>
    <t>Non-escalable fuel charge component (in Rs./kWh)</t>
  </si>
  <si>
    <t>Non-escalable fuel charge component (in $/kWh)</t>
  </si>
  <si>
    <t>Escalable fuel handling  charge component (in Rs./kWh)</t>
  </si>
  <si>
    <t>Escalable fuel handling  charge component (in $/kWh)</t>
  </si>
  <si>
    <t>Non- escalable fuel handling  charge component (in Rs./kWh)</t>
  </si>
  <si>
    <t>Non- escalable fuel handling  charge component (in $/kWh)</t>
  </si>
  <si>
    <t>Escalable transportation charge component (in Rs./kWh)</t>
  </si>
  <si>
    <t>Escalable transportation charge component (in $/kWh)</t>
  </si>
  <si>
    <t>Non-escalable transportation charge component (in Rs./kWh)</t>
  </si>
  <si>
    <t>Non-escalable transportation charge component(in $/kWh)</t>
  </si>
  <si>
    <t>Total transmission charges (Rs/kWh)</t>
  </si>
  <si>
    <t>Escalable component (in Rs./kWh)</t>
  </si>
  <si>
    <t>Non escalable component (in Rs./kWh)</t>
  </si>
  <si>
    <t>Total tariff as per PPA (Rs/kWh)</t>
  </si>
  <si>
    <t>Incentives or Disincentives as per PPA (Rs. Cr)</t>
  </si>
  <si>
    <t>Compensatory tariff, if any (Rs. Cr)</t>
  </si>
  <si>
    <t>Additional charge, if any (Rs. Cr)</t>
  </si>
  <si>
    <t>Total payment made to generator (Rs. Cr)</t>
  </si>
  <si>
    <t>Seller</t>
  </si>
  <si>
    <t>Power Procured</t>
  </si>
  <si>
    <t>Cost of power</t>
  </si>
  <si>
    <t>Per unit cost of power</t>
  </si>
  <si>
    <t>Rs./kWh</t>
  </si>
  <si>
    <t>C=(A/(1-B)-A)</t>
  </si>
  <si>
    <t>F=(D/(1-E)-D)</t>
  </si>
  <si>
    <t>Energy Purchase from Stations connected to Intra State Transmission network (UPPTCL)</t>
  </si>
  <si>
    <t>Total Energy Purchased at UPPCL Periphery</t>
  </si>
  <si>
    <t>Load Factor</t>
  </si>
  <si>
    <t>Fixed Charges</t>
  </si>
  <si>
    <t>Any Other Charges</t>
  </si>
  <si>
    <t>Shortfall/Excess (G-H)</t>
  </si>
  <si>
    <t>Total Other Deductions (C)</t>
  </si>
  <si>
    <t>Total Expenditure (B)</t>
  </si>
  <si>
    <t>Total Receipts (A)</t>
  </si>
  <si>
    <t>PLF(%)</t>
  </si>
  <si>
    <t>Auxiliary Consumption (%)</t>
  </si>
  <si>
    <t>Status (Must Run)</t>
  </si>
  <si>
    <t>Energy Charges (Rs. Crs)</t>
  </si>
  <si>
    <t>Fixed Charges (Rs. Crs)</t>
  </si>
  <si>
    <t>Other Cost (Rs. Crs)</t>
  </si>
  <si>
    <t>(Generator/ Trader/ DISCOM)</t>
  </si>
  <si>
    <t>Medium Term</t>
  </si>
  <si>
    <t>**Supported with appropriate paper work i.e. Detailed Project Reports and other documents, as necessary</t>
  </si>
  <si>
    <t>Loan Amount (Rs Cr)**</t>
  </si>
  <si>
    <t>Capital Subsidies / grants component (Rs. Cr.)</t>
  </si>
  <si>
    <t>Consumer Contribution component (Rs. Cr.)</t>
  </si>
  <si>
    <t>Past years</t>
  </si>
  <si>
    <t xml:space="preserve">Past years </t>
  </si>
  <si>
    <t xml:space="preserve">(c) </t>
  </si>
  <si>
    <t>(b)</t>
  </si>
  <si>
    <t>(a)</t>
  </si>
  <si>
    <t>Sr. No.</t>
  </si>
  <si>
    <t>(d)</t>
  </si>
  <si>
    <t xml:space="preserve">(e) </t>
  </si>
  <si>
    <t>Net O&amp;M Expenses</t>
  </si>
  <si>
    <t>Y</t>
  </si>
  <si>
    <t xml:space="preserve">1. CPI Index shall be considered from the Website of Ministry of Labour Bureau, Government of India. </t>
  </si>
  <si>
    <t>Annual Average WPI Index</t>
  </si>
  <si>
    <t xml:space="preserve">1. WPI Index shall be considered from the Website of Office of Economic Advisor of Government of India. </t>
  </si>
  <si>
    <t xml:space="preserve"> Interest and Finance charges such as Credit Rating charges, collection facilitation charges, financing cost of Delayed Payment Surcharge and other finance charges </t>
  </si>
  <si>
    <t>Particulars *</t>
  </si>
  <si>
    <t>Gross Block</t>
  </si>
  <si>
    <t>Applicable rate of Depreciation (%) *</t>
  </si>
  <si>
    <t>As at the beginning of the Financial Year</t>
  </si>
  <si>
    <t>As at the end of the Financial Year</t>
  </si>
  <si>
    <t>A. Normative Loan</t>
  </si>
  <si>
    <t xml:space="preserve">Sr. No. </t>
  </si>
  <si>
    <t>Tariff Order</t>
  </si>
  <si>
    <t>April-March (Audited)</t>
  </si>
  <si>
    <t>Opening Balance of Normative Loan</t>
  </si>
  <si>
    <t>Less: Reduction of Normative Loan due to retirement or replacement of assets</t>
  </si>
  <si>
    <t>Addition of Normative Loan due to capitalisation during the year</t>
  </si>
  <si>
    <t>Repayment of Normative loan during the year</t>
  </si>
  <si>
    <t>Closing Balance of Normative Loan</t>
  </si>
  <si>
    <t>Average Balance of Normative Loan</t>
  </si>
  <si>
    <t>Weighted average Rate of Interest on actual Loans (%)</t>
  </si>
  <si>
    <t>Interest on Security Deposit from Consumers and Distribution system Users</t>
  </si>
  <si>
    <t>B. Existing Actual Long-term Loans</t>
  </si>
  <si>
    <t>Legend</t>
  </si>
  <si>
    <t>Opening Balance of Loan</t>
  </si>
  <si>
    <t>Addition of Loan during the year</t>
  </si>
  <si>
    <t>B1</t>
  </si>
  <si>
    <t>Loan Repayment during the year</t>
  </si>
  <si>
    <t>C1</t>
  </si>
  <si>
    <t>Closing Balance of Loan</t>
  </si>
  <si>
    <t>D1=A1+B1-C1</t>
  </si>
  <si>
    <t>Average Loan Balance</t>
  </si>
  <si>
    <t>E1=(A1+D1)/2</t>
  </si>
  <si>
    <t>Applicable Rate of Interest as on 1st April of the Financial Year</t>
  </si>
  <si>
    <t>Interest Amount Paid in Rs. Crore</t>
  </si>
  <si>
    <t>G1</t>
  </si>
  <si>
    <t>A2</t>
  </si>
  <si>
    <t>B2</t>
  </si>
  <si>
    <t>C2</t>
  </si>
  <si>
    <t>D2=A2+B2-C2</t>
  </si>
  <si>
    <t>E2=(A2+D2)/2</t>
  </si>
  <si>
    <t>G2</t>
  </si>
  <si>
    <t>Source 3</t>
  </si>
  <si>
    <t>…</t>
  </si>
  <si>
    <t>Opening Balance of Loan = A1+A2+…..</t>
  </si>
  <si>
    <t>Addition of Loan during the year = B1+B2+….</t>
  </si>
  <si>
    <t>Loan Repayment during the year = C1+C2+…..</t>
  </si>
  <si>
    <t>E=(A+D)/2</t>
  </si>
  <si>
    <t>Total Interest Amount Paid in Rs. Crore (for all the sources) = G1+G2+….</t>
  </si>
  <si>
    <t>Effective Wt. Avg. Rate of Interest</t>
  </si>
  <si>
    <t>H=G/E * 100</t>
  </si>
  <si>
    <t>H=∑(An*Fn)/∑An*100</t>
  </si>
  <si>
    <t>Gross Interest Expenses</t>
  </si>
  <si>
    <t>Less: Expenses Capitalised</t>
  </si>
  <si>
    <t xml:space="preserve">Net Interest Expenses </t>
  </si>
  <si>
    <t>Approved in Tariff Order</t>
  </si>
  <si>
    <t>Total Interest Expenses</t>
  </si>
  <si>
    <t>Income from rent of land or buildings;</t>
  </si>
  <si>
    <t xml:space="preserve">Income from sale of scrap; </t>
  </si>
  <si>
    <t>Income from investments;</t>
  </si>
  <si>
    <t xml:space="preserve">Income from rental from staff quarters; </t>
  </si>
  <si>
    <t xml:space="preserve">Income from rental from contractors; </t>
  </si>
  <si>
    <t>Any other Non-Tariff Income:</t>
  </si>
  <si>
    <t>Supervision charges for capital works;</t>
  </si>
  <si>
    <t>Income from recovery against theft and/or pilferage of electricity;</t>
  </si>
  <si>
    <t>Income from sale of tender documents;</t>
  </si>
  <si>
    <t>Excess found on physical verification;</t>
  </si>
  <si>
    <t>Prior Period Income;</t>
  </si>
  <si>
    <t>Miscellaneous receipts; and</t>
  </si>
  <si>
    <t>Sub-total</t>
  </si>
  <si>
    <t>LMV-2</t>
  </si>
  <si>
    <t>LMV-3</t>
  </si>
  <si>
    <t>Past year</t>
  </si>
  <si>
    <t>Formula</t>
  </si>
  <si>
    <t>Past Year</t>
  </si>
  <si>
    <t>Dues from permantently disconnected consumers  having arrears less than 10 lacs</t>
  </si>
  <si>
    <t>Dues from permantently disconnected consumers  having arrears more than 10 lacs</t>
  </si>
  <si>
    <t xml:space="preserve">Past year </t>
  </si>
  <si>
    <t>Steps proposed to be taken to improve collection and to reduce the revenue arrears</t>
  </si>
  <si>
    <t>Wholesale Price Inflation</t>
  </si>
  <si>
    <t>Interest on Normative Loan</t>
  </si>
  <si>
    <t>Details of Physical statistics of the network</t>
  </si>
  <si>
    <t>Allocation %</t>
  </si>
  <si>
    <t>Wheeling</t>
  </si>
  <si>
    <t>Supply</t>
  </si>
  <si>
    <t>Allocation</t>
  </si>
  <si>
    <t>Note: The above table should be provided for each year of the Control Period.</t>
  </si>
  <si>
    <t>True-Up Snapshot</t>
  </si>
  <si>
    <t xml:space="preserve">Approved in Tariff Order </t>
  </si>
  <si>
    <t xml:space="preserve">Actual as per Audited Accounts </t>
  </si>
  <si>
    <t xml:space="preserve">% Change of (C) as compared to (A) </t>
  </si>
  <si>
    <t xml:space="preserve">Trued-Up of Previous Year            </t>
  </si>
  <si>
    <t xml:space="preserve">% Change of (C) as compared to (E) </t>
  </si>
  <si>
    <t>(A)</t>
  </si>
  <si>
    <t>(B)</t>
  </si>
  <si>
    <t>(C)</t>
  </si>
  <si>
    <t>D=(C-A)/A</t>
  </si>
  <si>
    <t>(E)</t>
  </si>
  <si>
    <t>F=(C-E)/E</t>
  </si>
  <si>
    <t xml:space="preserve">Trued-Up of Last Year            </t>
  </si>
  <si>
    <t>Investments</t>
  </si>
  <si>
    <t>Transferred to GFA (total capitalisation)</t>
  </si>
  <si>
    <t>APR Snapshot</t>
  </si>
  <si>
    <t>APR Claimed</t>
  </si>
  <si>
    <t xml:space="preserve">% Change of (B) as compared to (A) </t>
  </si>
  <si>
    <t xml:space="preserve">Trued up of Previous Year             </t>
  </si>
  <si>
    <t xml:space="preserve">% Change of (B) as compared to (D) </t>
  </si>
  <si>
    <t>C=(B-A)/A</t>
  </si>
  <si>
    <t>(D)</t>
  </si>
  <si>
    <t>E=(B-D)/D</t>
  </si>
  <si>
    <t>ARR</t>
  </si>
  <si>
    <t>ARR Snapshot</t>
  </si>
  <si>
    <t>ARR Claimed</t>
  </si>
  <si>
    <t>ARR of Previous Year</t>
  </si>
  <si>
    <t>G=(B-D)/D</t>
  </si>
  <si>
    <t>Rs. Crore</t>
  </si>
  <si>
    <t xml:space="preserve">                                                          (True-Up)</t>
  </si>
  <si>
    <t xml:space="preserve">                       (ARR)</t>
  </si>
  <si>
    <t xml:space="preserve"> (APR)</t>
  </si>
  <si>
    <t xml:space="preserve">Note: Licenees are required to provide the above format Discom wise and consolidated both. </t>
  </si>
  <si>
    <t>* However, as per the MYT 2019 Regulations, the same will be part of A&amp;G.</t>
  </si>
  <si>
    <t>It is noted that as per the MYT Regulations, 2019 there is no provision for sharing of gains.</t>
  </si>
  <si>
    <t>Opening GFA</t>
  </si>
  <si>
    <t>Add: Additions</t>
  </si>
  <si>
    <t>Less: Deductions</t>
  </si>
  <si>
    <t>Closing GFA</t>
  </si>
  <si>
    <t xml:space="preserve">Net O&amp;M Expenses </t>
  </si>
  <si>
    <t>a) Net Employee costs</t>
  </si>
  <si>
    <t>b) Net A&amp;G expenses</t>
  </si>
  <si>
    <t>c) Net R&amp;M expenses</t>
  </si>
  <si>
    <t>Retail Sales (Audited) (MU)</t>
  </si>
  <si>
    <t>Distribution Losses (%)</t>
  </si>
  <si>
    <t>Energy at Discom Periphery for Retail Sales (Audited) (MU)</t>
  </si>
  <si>
    <t>(C=A/(1-B))</t>
  </si>
  <si>
    <t>Energy from State Generating Stations (MU)</t>
  </si>
  <si>
    <t>Energy from Central Generating Stations (MU)</t>
  </si>
  <si>
    <t>Intra-State Transmission Loss (%)</t>
  </si>
  <si>
    <t>Energy Available after intra-state losses (MU)</t>
  </si>
  <si>
    <t>(G= (D+H)/(1-F))</t>
  </si>
  <si>
    <t>Energy Available after inter-state losses (MU)</t>
  </si>
  <si>
    <t>Interstate Transmission Loss (%)</t>
  </si>
  <si>
    <t>(J=(E-H)/E)</t>
  </si>
  <si>
    <t>ABR (Excluding Subsidy) (Rs. /kWhr)(Rs. /kWhr)</t>
  </si>
  <si>
    <t>(Rs. /kWh)</t>
  </si>
  <si>
    <t>ABR (including Subsidy) (Rs. /kWhr)</t>
  </si>
  <si>
    <t>ACOS (Rs. /kWhr)</t>
  </si>
  <si>
    <t xml:space="preserve">Trued-Up of Previous Year   </t>
  </si>
  <si>
    <t>True-Up Claimed</t>
  </si>
  <si>
    <t xml:space="preserve"> Movement in Capex details:</t>
  </si>
  <si>
    <t>  Details of O&amp;M components:</t>
  </si>
  <si>
    <t xml:space="preserve"> Energy Balance Information as shown below :</t>
  </si>
  <si>
    <t>% Change of True-Up Claime wrt to approved in Tariff Order</t>
  </si>
  <si>
    <t>% Change of APR Claime wrt to approved in Tariff Order</t>
  </si>
  <si>
    <t>CWIP &amp; GFA Details</t>
  </si>
  <si>
    <t>Parameters</t>
  </si>
  <si>
    <t xml:space="preserve">Trued-Up (Previous Year) </t>
  </si>
  <si>
    <t>Audited Accounts</t>
  </si>
  <si>
    <t>Approved in True-Up</t>
  </si>
  <si>
    <t>Opening WIP as on 1st April</t>
  </si>
  <si>
    <t>A&amp;G Expense Capitalisation</t>
  </si>
  <si>
    <t>Interest Capitalisation</t>
  </si>
  <si>
    <t>Closing WIP as on 31st March</t>
  </si>
  <si>
    <t>Opening GFA  as on 1st April</t>
  </si>
  <si>
    <t>Closing GFA as on 31st March</t>
  </si>
  <si>
    <t>Gross allowable Depreciation</t>
  </si>
  <si>
    <t>Net allowable Deprecaition</t>
  </si>
  <si>
    <t>Existing Tariff</t>
  </si>
  <si>
    <t>LMV-1</t>
  </si>
  <si>
    <t xml:space="preserve">DOMESTIC LIGHT, FAN &amp; POWER: </t>
  </si>
  <si>
    <t xml:space="preserve">(a) </t>
  </si>
  <si>
    <t xml:space="preserve">Consumers getting supply as per 'Rural Schedule'  </t>
  </si>
  <si>
    <t>(i)</t>
  </si>
  <si>
    <t>Life Line Consumers: With contracted load of 1.00 kW, Energy consumtion upto 100 kWh/ month</t>
  </si>
  <si>
    <t xml:space="preserve">   </t>
  </si>
  <si>
    <t>Fixed Charge (Rs. / kW / month)</t>
  </si>
  <si>
    <t>Energy Charge ( 0-100 kWh / month) (Rs. / kWh)</t>
  </si>
  <si>
    <t xml:space="preserve">(i) </t>
  </si>
  <si>
    <t xml:space="preserve">Un-Metered: </t>
  </si>
  <si>
    <t xml:space="preserve">(ii) </t>
  </si>
  <si>
    <t>Fixed Charge: (Rs. / kW / month)</t>
  </si>
  <si>
    <t xml:space="preserve">All Load </t>
  </si>
  <si>
    <t xml:space="preserve">Metered: </t>
  </si>
  <si>
    <t xml:space="preserve">(iii) </t>
  </si>
  <si>
    <t>Fixed Charge:  (Rs. / kW / month)</t>
  </si>
  <si>
    <t xml:space="preserve">Energy Charge: Upto 100 kWh / Month </t>
  </si>
  <si>
    <t xml:space="preserve">101-150 kWh / Month </t>
  </si>
  <si>
    <t xml:space="preserve">151-300 kWh / Month </t>
  </si>
  <si>
    <t xml:space="preserve">301-500 kWh / Month </t>
  </si>
  <si>
    <t xml:space="preserve">Above 500 kWh / Month </t>
  </si>
  <si>
    <t xml:space="preserve">(b) </t>
  </si>
  <si>
    <t xml:space="preserve">Supply at single point for bulk loads (50 kW and above, Supplied at any voltage): </t>
  </si>
  <si>
    <t>Energy Charge (Rs. / kWh)</t>
  </si>
  <si>
    <t>Deemed Franchisee of the Licensee should not charge more than 5% additional charge on the above specified rate.</t>
  </si>
  <si>
    <t>Other Metered Domestic Consumers:</t>
  </si>
  <si>
    <t xml:space="preserve">Other Metered Domestic Consumers: (For All Loads) </t>
  </si>
  <si>
    <t xml:space="preserve">Energy Charge </t>
  </si>
  <si>
    <t>Upto150 kWh / month (Rs. / kWh)</t>
  </si>
  <si>
    <t>151-300 kWh / month (Rs. / kWh)</t>
  </si>
  <si>
    <t>301- 500 kWh / month (Rs. / kWh)</t>
  </si>
  <si>
    <t>Above 500 kWh / month (Rs. / kWh)</t>
  </si>
  <si>
    <t xml:space="preserve">NON-DOMESTIC LIGHT, FAN &amp; POWER: </t>
  </si>
  <si>
    <t xml:space="preserve">Consumers getting supply as per "Rural Schedule" </t>
  </si>
  <si>
    <t xml:space="preserve">Un-Metered </t>
  </si>
  <si>
    <t>All Load</t>
  </si>
  <si>
    <t xml:space="preserve">Metered </t>
  </si>
  <si>
    <t xml:space="preserve">Private Advertising / Sign Posts / Sign Boards / Glow Signs / Flex </t>
  </si>
  <si>
    <t xml:space="preserve">Fixed Charge </t>
  </si>
  <si>
    <t>Minimum Charges  (Rs./ kW/ month)</t>
  </si>
  <si>
    <t xml:space="preserve">Other Metered Consumers: (For All Loads) </t>
  </si>
  <si>
    <t>Fixed Charge (Upto 2 kW) (Rs. / kW / month)</t>
  </si>
  <si>
    <t>Fixed Charge ( Above 2 kW to 4 kW ) (Rs. / kW / month)</t>
  </si>
  <si>
    <t>Fixed Charge (Above 4 kW) (Rs. / kW / month)</t>
  </si>
  <si>
    <t>Energy Charge upto 300 kWh / month (Rs. / kWh)</t>
  </si>
  <si>
    <t>Energy Charge from 301-1000 kWh / month (Rs. / kWh)</t>
  </si>
  <si>
    <t>Energy Charge above 1001 kWh / month (Rs. / kWh)</t>
  </si>
  <si>
    <t>Minimum Charge  (Rs. / kW / month) (April to September)</t>
  </si>
  <si>
    <t>Minimum Charge  (Rs. / kW / month) (October to March)</t>
  </si>
  <si>
    <t xml:space="preserve">PUBLIC LAMPS: </t>
  </si>
  <si>
    <t>Un-Metered Supply:</t>
  </si>
  <si>
    <t xml:space="preserve">Gram Panchayat (Rs. / kW or part thereof / month) </t>
  </si>
  <si>
    <t xml:space="preserve">Nagar Palika and Nagar Panchayat (Rs. / kW or part thereof / month) </t>
  </si>
  <si>
    <t xml:space="preserve">Nagar Nigam (Rs. / kW or part thereof / month) </t>
  </si>
  <si>
    <t>Metered Supply:</t>
  </si>
  <si>
    <t>Gram Panchayat  (Rs. / kW / month)</t>
  </si>
  <si>
    <t>Nagar Palika and Nagar Panchayat  (Rs. / kW / month)</t>
  </si>
  <si>
    <t>Nagar Nigam  (Rs. / kW / month)</t>
  </si>
  <si>
    <t>Gram Panchayat (Rs. / kWh)</t>
  </si>
  <si>
    <t>Nagar Palika and Nagar Panchayat (Rs. / kWh)</t>
  </si>
  <si>
    <t>Nagar Nigam (Rs. / kWh)</t>
  </si>
  <si>
    <t>TOD Rates % Energy Charge</t>
  </si>
  <si>
    <t>LMV-4</t>
  </si>
  <si>
    <t>LIGHT, FAN &amp; POWER FOR PUBLIC &amp; PRIVATE INSTITUTION:</t>
  </si>
  <si>
    <t xml:space="preserve">4 (a) </t>
  </si>
  <si>
    <t>For Public Institutions:</t>
  </si>
  <si>
    <t>Fixed Charge (All Load)  (Rs. / kW / month)</t>
  </si>
  <si>
    <t>Energy Charge from 0-1000 kWh/ month  (Rs. / kWh)</t>
  </si>
  <si>
    <t>Energy Charge for 1001-2000 kWh/ month  (Rs. / kWh)</t>
  </si>
  <si>
    <t xml:space="preserve"> Energy Charge above 2001 kWh / month (From 2001st unit onwards)  (Rs. / kWh)</t>
  </si>
  <si>
    <t xml:space="preserve">4 (b) </t>
  </si>
  <si>
    <t>For Private Institutions:</t>
  </si>
  <si>
    <t>Fixed Charge (Upto 3 kW)  (Rs. / kW / month)</t>
  </si>
  <si>
    <t>Fixed Charge (Above 3 kW)  (Rs. / kW / month)</t>
  </si>
  <si>
    <t>Energy Charge above 1001 kWh/ month (From 1001st unit onwards)  (Rs. / kWh)</t>
  </si>
  <si>
    <t>LMV-5</t>
  </si>
  <si>
    <t xml:space="preserve">SMALL POWER FOR PRIVATE TUBE WELL/ PUMPING SETS FOR IRRIGATION PURPOSES: </t>
  </si>
  <si>
    <t xml:space="preserve">Un-Metered Supply </t>
  </si>
  <si>
    <t>Fixed Charge (Rs. / BHP / month)</t>
  </si>
  <si>
    <t>Maximum Lighting load allowed (Watts)</t>
  </si>
  <si>
    <t xml:space="preserve">Metered Supply </t>
  </si>
  <si>
    <t>Energy Charge  (Rs. / kWh)</t>
  </si>
  <si>
    <t>Minimum Charge (Rs. / BHP / month)</t>
  </si>
  <si>
    <t>Minimum Charges (Rs. / BHP / month)</t>
  </si>
  <si>
    <t>Minimum Bill payable till installation of meter (Rs. / BHP / month)</t>
  </si>
  <si>
    <t>(iii)</t>
  </si>
  <si>
    <t>Energy Efficient Pumps</t>
  </si>
  <si>
    <t>Fixed Charge  (Rs. / BHP / month)</t>
  </si>
  <si>
    <t xml:space="preserve">Consumers getting supply as per "Urban Schedule (Metered Supply)" </t>
  </si>
  <si>
    <t>Minimum Bill payable till installation of meter by the PTW consumers of Bundelkhand Area located in Gram Sabha (Rs. / BHP / month)</t>
  </si>
  <si>
    <t>LMV-6</t>
  </si>
  <si>
    <t xml:space="preserve">SMALL AND MEDIUM POWER: </t>
  </si>
  <si>
    <t>Consumers getting supply other than "Rural Schedule"</t>
  </si>
  <si>
    <t>Fixed Charge (All Load) [Rs./kW/month)]</t>
  </si>
  <si>
    <t>Energy Charge upto 1000 kWh/ month [Rs./kwh]</t>
  </si>
  <si>
    <t>Energy Charge upto  2000 kWh/ month [Rs./kwh]</t>
  </si>
  <si>
    <t>Energy Charge above 2000 kWh / month [Rs./kwh]</t>
  </si>
  <si>
    <t xml:space="preserve">Minimum Charge </t>
  </si>
  <si>
    <t>Consumers getting supply as per "Rural Schedule"</t>
  </si>
  <si>
    <t>Fixed Charge</t>
  </si>
  <si>
    <t>Energy Charge</t>
  </si>
  <si>
    <t>TOD Rates (% of Energy Charge)</t>
  </si>
  <si>
    <t>Summer Months (April to September)</t>
  </si>
  <si>
    <t>05:00 hrs - 11:00 hrs</t>
  </si>
  <si>
    <t>11:00 hrs - 17:00 hrs</t>
  </si>
  <si>
    <t>17:00 hrs - 23:00 hrs</t>
  </si>
  <si>
    <t>23:00 hrs - 05:00 hrs</t>
  </si>
  <si>
    <t>Winter Months (October to March)</t>
  </si>
  <si>
    <t>LMV-7</t>
  </si>
  <si>
    <t xml:space="preserve">PUBLIC WATER WORKS: </t>
  </si>
  <si>
    <t xml:space="preserve">Consumers getting supply other than "Rural Schedule" </t>
  </si>
  <si>
    <t>Fixed Charge [Rs./kW/month]</t>
  </si>
  <si>
    <t>Energy Charge [Rs./kWh]</t>
  </si>
  <si>
    <t>LMV-8</t>
  </si>
  <si>
    <t xml:space="preserve">STW, PANCHAYTI RAJ TUBE WELL &amp; PUMPED CANALS: </t>
  </si>
  <si>
    <t>Fixed Charge [Rs./ BHP / month ]</t>
  </si>
  <si>
    <t>LMV-9</t>
  </si>
  <si>
    <t xml:space="preserve">TEMPORARY SUPPLY: </t>
  </si>
  <si>
    <t>Fixed Charges for Illumination / Public Address / ceremonies for loads upto 20 kW / connection plus Rs.100.00 / kW / day for each additional kW  [Rs./day]</t>
  </si>
  <si>
    <t>Fixed charges for temporary shops set-up during festivals / melas or otherwise and having load up to 2 kW [Rs./day/shop]</t>
  </si>
  <si>
    <t>PTW consumers of Bundelkhand Area having requirement of electricity only for the Rabi Crop i.e. period between November to February in any year. [Rs./BHP/month]</t>
  </si>
  <si>
    <t xml:space="preserve">(i) Individual Residential Construction </t>
  </si>
  <si>
    <t xml:space="preserve">(ii) Others </t>
  </si>
  <si>
    <t>From 3rd Year onwards: Base Tariff applicable for current year plus additional 10% of the applicable Energy Charge.</t>
  </si>
  <si>
    <t>Minimum Charge: [Rs. / kW / week)</t>
  </si>
  <si>
    <t>LMV-10</t>
  </si>
  <si>
    <t>DEPARTMENTAL EMPLOYEES AND PENSIONERS:</t>
  </si>
  <si>
    <t xml:space="preserve">On all  such consumers LMV-1 Rate Schedule will be applicable. </t>
  </si>
  <si>
    <t>LMV-11</t>
  </si>
  <si>
    <t>ELECTRIC VEHICLE CHARGING:</t>
  </si>
  <si>
    <t>Multi Storey Buildings (covered under LMV-1b &amp; HV-1b of the Rate Schedule)</t>
  </si>
  <si>
    <t xml:space="preserve">Demand Charges </t>
  </si>
  <si>
    <t>Multi Story Buildings (Covered under LMV-1b)</t>
  </si>
  <si>
    <t>Multi Story Buildings (Covered under HV-1b)</t>
  </si>
  <si>
    <t>Public Charging Stations</t>
  </si>
  <si>
    <t>Public Charging Station (LT)</t>
  </si>
  <si>
    <t>Public Charging Station (HT)</t>
  </si>
  <si>
    <t xml:space="preserve">05:00 hrs-11:00 hrs </t>
  </si>
  <si>
    <t xml:space="preserve">11:00 hrs-17:00 hrs </t>
  </si>
  <si>
    <t xml:space="preserve">17:00 hrs-23:00 hrs </t>
  </si>
  <si>
    <t xml:space="preserve">23:00 hrs-05:00 hrs </t>
  </si>
  <si>
    <t>Other Consumers:</t>
  </si>
  <si>
    <t xml:space="preserve">The consumers of other categories (any metered consumers of LMV-2(a), LMV2(c), LMV-4, LMV-6, LMV-7, LMV-8 (Metered), LMV-9 (Metered), HV-1 (excluding Multi Storey Buildings covered under LMV-1b &amp; HV-1b of the Rate Schedule), HV-2, HV-3 and HV-4), will be charged as per the Tariff applicable for their respective category or to say they need not to take a separate connection, they can do the Charging within their respective connections, provided the load of EV does not exceed the connected / contracted load.  </t>
  </si>
  <si>
    <t>HV-1</t>
  </si>
  <si>
    <t xml:space="preserve">NON-INDUSTRIAL BULK LOAD: </t>
  </si>
  <si>
    <t xml:space="preserve">Commercial Loads / Private Institutions / Non-Domestic Bulk Power consumer with contracted Load 75 kW &amp; above and getting supply at single point on 11 kV &amp; above: </t>
  </si>
  <si>
    <t>For Supply at 11 kV (All load) [Rs./kVA/Month]</t>
  </si>
  <si>
    <t>For Supply above 11 kV (All load) [Rs./kVA/Month]</t>
  </si>
  <si>
    <t>For Supply at 11 kV (Upto  2500 kVAh / month) [Rs./kVAh]</t>
  </si>
  <si>
    <t>For Supply at 11 kV (Above 2501 kVAh / month (From 2501st unit onwards))[Rs./kVAh]</t>
  </si>
  <si>
    <t>For Supply above 11 kV (Upto 2500 kVAh / month)[Rs./kVAh]</t>
  </si>
  <si>
    <t>For Supply above 11 kV (Above 2501 kVAh /  month (From 2501st unit onwards))[Rs./kVAh]</t>
  </si>
  <si>
    <t>Public Institutions, Registered Societies, Residential Colonies / Townships, Residential Multi-Storied Buildings including Residential Multi-Storied Buildings with contracted load 75 kW &amp; above and getting supply at Single Point on 11 kV &amp; above voltage levels:</t>
  </si>
  <si>
    <t>For Supply at 11 kV (Upto  2500 kVAh / month)[Rs. /kVAh]</t>
  </si>
  <si>
    <t>For Supply at 11 kV (Above 2501 kVAh / month (From 2501st unit onwards))[Rs. /kVAh]</t>
  </si>
  <si>
    <t>For Supply above 11 kV (Upto 2500 kVAh / month)[Rs. /kVAh]</t>
  </si>
  <si>
    <t>For Supply above 11 kV (Above 2501 kVAh / month (From 2501st unit onwards))[Rs. /kVAh]</t>
  </si>
  <si>
    <t>Deemed Franchisee of the Licensee should not charge more than 5% additional charge on the above specified Rate.</t>
  </si>
  <si>
    <t>HV-2</t>
  </si>
  <si>
    <t xml:space="preserve">LARGE AND HEAVY POWER: </t>
  </si>
  <si>
    <t xml:space="preserve">(A) </t>
  </si>
  <si>
    <t>Urban Schedule:</t>
  </si>
  <si>
    <t xml:space="preserve">1. For supply up to 11 kV </t>
  </si>
  <si>
    <t xml:space="preserve">BASE RATE: For Hour Linked Tariff </t>
  </si>
  <si>
    <t xml:space="preserve">Demand Charges (Rs. / kVA / month) </t>
  </si>
  <si>
    <t xml:space="preserve">Energy Charges (Rs. / kVAh) </t>
  </si>
  <si>
    <t xml:space="preserve">Minimum Charge (Rs. / kVA / month) </t>
  </si>
  <si>
    <t xml:space="preserve">2. For supply above 11 kV and up to 66 kV </t>
  </si>
  <si>
    <t xml:space="preserve">3. For supply above 66 kV and up to 132 kV </t>
  </si>
  <si>
    <t xml:space="preserve">Demand Charges (Rs. / kVA/ month) </t>
  </si>
  <si>
    <t>4. For supply above 132 kV</t>
  </si>
  <si>
    <t xml:space="preserve">Demand Charges (Rs / kVA/ month) </t>
  </si>
  <si>
    <t xml:space="preserve">Energy Charges (Rs / kVAh) </t>
  </si>
  <si>
    <t xml:space="preserve">Minimum Charge (Rs / kVA / month) </t>
  </si>
  <si>
    <t xml:space="preserve">(B) </t>
  </si>
  <si>
    <t xml:space="preserve">Rural Schedule: </t>
  </si>
  <si>
    <t xml:space="preserve">This Schedule shall be applicable only to consumers getting supply upto 11 kV as per "Rural Schedule". The consumers under this category shall be entitled to a rebate of 7.50% on 'BASE RATE' as given for 11 kV consumers under urban schedule. Further, no 'TOD RATE' shall be applicable for this category.    </t>
  </si>
  <si>
    <t xml:space="preserve">(C) </t>
  </si>
  <si>
    <t xml:space="preserve">Consumers already existing under HV-2 category with metering arrangement at low voltage: </t>
  </si>
  <si>
    <t>Existing consumer under HV-2 with metering at 0.4 kV shall be required to pay as per schedule applicable to 11 kV consumers under HV-2 category.</t>
  </si>
  <si>
    <t>HV-3</t>
  </si>
  <si>
    <t>RAILWAY TRACTION &amp; METRO RAIL:</t>
  </si>
  <si>
    <t>Railway Traction:</t>
  </si>
  <si>
    <t>For Supply below, at and above 132 kV  [Rs./kVA/month]</t>
  </si>
  <si>
    <r>
      <t xml:space="preserve">Energy Charge </t>
    </r>
    <r>
      <rPr>
        <sz val="11"/>
        <rFont val="Calibri"/>
        <family val="2"/>
        <scheme val="minor"/>
      </rPr>
      <t>(all consumption in a month)</t>
    </r>
  </si>
  <si>
    <t>For Supply below 132 kV [Rs./kVAh]</t>
  </si>
  <si>
    <t>For Supply at 132 kV &amp; above [Rs./kVAh]</t>
  </si>
  <si>
    <t>Minimum Charge [Rs./kVA/month]</t>
  </si>
  <si>
    <t>METRO RAIL</t>
  </si>
  <si>
    <t>*Demand Charges  [Rs./kVA/month]</t>
  </si>
  <si>
    <t>Energy Charges [Rs./kVAh]</t>
  </si>
  <si>
    <t>* Penalty @ Rs. 540 / kVA will be charged on excess demand, if demands exceeds contracted load.</t>
  </si>
  <si>
    <t>HV-4</t>
  </si>
  <si>
    <t>LIFT IRRIGATION WORKS:</t>
  </si>
  <si>
    <t>For Supply at 11 kV [Rs./kVA/month]</t>
  </si>
  <si>
    <t>For Supply at 33 kV &amp; 66 kV[Rs./kVA/month]</t>
  </si>
  <si>
    <t>For Supply at 132 kV [Rs./kVA/month]</t>
  </si>
  <si>
    <t>For Supply at 11 kV [Rs./kVAh]</t>
  </si>
  <si>
    <t>For Supply at 33 kV &amp; 66 kV [Rs./kVAh]</t>
  </si>
  <si>
    <t>For Supply at 132 kV [Rs./kVAh]</t>
  </si>
  <si>
    <t>Proposed Tariff</t>
  </si>
  <si>
    <t>Past Years</t>
  </si>
  <si>
    <t>Distribution Loss (%) of State Discoms (Actual/ Projection)</t>
  </si>
  <si>
    <t>Financial Year</t>
  </si>
  <si>
    <t>FY____</t>
  </si>
  <si>
    <t>Category / Sub-Category</t>
  </si>
  <si>
    <t>No. of Consumers (Nos.)</t>
  </si>
  <si>
    <t>Connected Load (kW)</t>
  </si>
  <si>
    <t>Sales (MU)</t>
  </si>
  <si>
    <t>Revenue (Rs. Crore)</t>
  </si>
  <si>
    <t>L=(K-D)/D</t>
  </si>
  <si>
    <t>M</t>
  </si>
  <si>
    <t>O</t>
  </si>
  <si>
    <t>Q</t>
  </si>
  <si>
    <t>S</t>
  </si>
  <si>
    <t>T=(S-K)/K</t>
  </si>
  <si>
    <t>U</t>
  </si>
  <si>
    <t>V=(U-M)/M</t>
  </si>
  <si>
    <t>W</t>
  </si>
  <si>
    <t>X=(W-O)/O</t>
  </si>
  <si>
    <t>Z=(Y-Q)/Q</t>
  </si>
  <si>
    <t>AA</t>
  </si>
  <si>
    <t>LMV-1: Domestic Light, Fan &amp; Power</t>
  </si>
  <si>
    <t>Dom: Rural Schedule (unmetered)</t>
  </si>
  <si>
    <t>Dom Rural : Load up to 2 kW</t>
  </si>
  <si>
    <t>Dom Rural : Load above 2 kW</t>
  </si>
  <si>
    <t>Dom: Rural Schedule (metered) other than BPL</t>
  </si>
  <si>
    <t>Dom: 0-100</t>
  </si>
  <si>
    <t>Dom: 101 - 150</t>
  </si>
  <si>
    <t>Dom: 151 - 300</t>
  </si>
  <si>
    <t>Dom: 301 - 500</t>
  </si>
  <si>
    <t>Dom: &gt; 500</t>
  </si>
  <si>
    <t>Dom: Supply at Single Point for Bulk Load</t>
  </si>
  <si>
    <t>Other Metered Domestic Consumers other than BPL</t>
  </si>
  <si>
    <t>1.Dom: 0-150</t>
  </si>
  <si>
    <t>1.Dom: 151 - 300</t>
  </si>
  <si>
    <t>1.Dom: 301 - 500</t>
  </si>
  <si>
    <t>1.Dom: &gt; 500</t>
  </si>
  <si>
    <t>BPL (both Rural and Urban)</t>
  </si>
  <si>
    <t>BPL: 0-50</t>
  </si>
  <si>
    <t>BPL: 51-100</t>
  </si>
  <si>
    <t>SUBTOTAL (LMV-1)</t>
  </si>
  <si>
    <t>LMV-2:Non Domestic Light,Fan &amp; Power</t>
  </si>
  <si>
    <t>Non Dom: Rural Schedule (unmetered)</t>
  </si>
  <si>
    <t>Com Rural : Load up to 2 kW</t>
  </si>
  <si>
    <t>Com Rural : Load above 2 kW</t>
  </si>
  <si>
    <t>Non Dom: Rural Schedule (metered)</t>
  </si>
  <si>
    <t>Non Dom: Private Advertising/SignPost/SignBoard/GlowSign</t>
  </si>
  <si>
    <t>Non Dom: Other Metered Non-Domestic Supply</t>
  </si>
  <si>
    <t>Upto 300 kWh / month</t>
  </si>
  <si>
    <t>301 – 1000 kWh / month</t>
  </si>
  <si>
    <t>Above 1000 kWh/Month</t>
  </si>
  <si>
    <t>SUBTOTAL (LMV-2)</t>
  </si>
  <si>
    <t xml:space="preserve">LMV-3: Public Lamps </t>
  </si>
  <si>
    <t>Unmetered - Gram Panchayat</t>
  </si>
  <si>
    <t>Unmetered - Nagar Palika &amp; Nagar Panchayat</t>
  </si>
  <si>
    <t>Unmetered - Nagar Nigam</t>
  </si>
  <si>
    <t>Metered - Gram Panchayat</t>
  </si>
  <si>
    <t>Metered - Nagar Palika &amp; Nagar Panchayat</t>
  </si>
  <si>
    <t>Metered - Nagar Nigam</t>
  </si>
  <si>
    <t>SUBTOTAL (LMV-3)</t>
  </si>
  <si>
    <t>LMV-4: Light, fan &amp; Power for Institutions</t>
  </si>
  <si>
    <t>Inst: Public</t>
  </si>
  <si>
    <t xml:space="preserve">Inst: Public : 0 – 1000 kWh / month </t>
  </si>
  <si>
    <t xml:space="preserve">Inst: Public : 1001 – 2000 kWh / month </t>
  </si>
  <si>
    <t xml:space="preserve">Inst: Public : Above 2000 kWh / month </t>
  </si>
  <si>
    <t>Inst: Private</t>
  </si>
  <si>
    <t xml:space="preserve">Inst: Private : 0 – 1000 kWh / month </t>
  </si>
  <si>
    <t xml:space="preserve">Inst: Private : Above 1000 kWh / month </t>
  </si>
  <si>
    <t>SUBTOTAL (LMV-4)</t>
  </si>
  <si>
    <t>LMV-5: Private Tube Wells/ Pumping Sets</t>
  </si>
  <si>
    <t>PTW: Rural Schedule (unmetered)</t>
  </si>
  <si>
    <t>PTW: Rural Schedule (metered)</t>
  </si>
  <si>
    <t>PTW: Urban Schedule (metered)</t>
  </si>
  <si>
    <t>SUBTOTAL (LMV-5)</t>
  </si>
  <si>
    <t>LMV 6: Small and Medium Power upto 100 HP (75 kW)</t>
  </si>
  <si>
    <t>Power Loom: Rural schedule</t>
  </si>
  <si>
    <t>PLR : 0 – 1000 kWh / month</t>
  </si>
  <si>
    <t>PLR : Above 1000 kWh / month</t>
  </si>
  <si>
    <t>PLR: Above 2000 kWh / month</t>
  </si>
  <si>
    <t>Power Loom: Urban schedule</t>
  </si>
  <si>
    <t>PLU : 0 – 1000 kWh / month</t>
  </si>
  <si>
    <t>PLU : Above 1000 kWh / month</t>
  </si>
  <si>
    <t>PLU: Above 2000 kWh / month</t>
  </si>
  <si>
    <t>Other than power loom: Rural schedule</t>
  </si>
  <si>
    <t>Other RS: 0 – 1000 kWh / month</t>
  </si>
  <si>
    <t>Other RS: 1001 – 2000 kWh / month</t>
  </si>
  <si>
    <t>Other RS: Above 2000 kWh / month</t>
  </si>
  <si>
    <t>Other than power loom: Urban schedule</t>
  </si>
  <si>
    <t>Other Urban : 0 – 1000 kWh / month</t>
  </si>
  <si>
    <t>Other Urban: 1001 – 2000 kWh / month</t>
  </si>
  <si>
    <t>Other Urban : Above 2000 kWh / month</t>
  </si>
  <si>
    <t>SUBTOTAL (LMV-6)</t>
  </si>
  <si>
    <t xml:space="preserve">LMV-7: Public Water Works </t>
  </si>
  <si>
    <t>Rural Schedule: Jal Nigam</t>
  </si>
  <si>
    <t>Rural Schedule: Jal Sansthan</t>
  </si>
  <si>
    <t>Rural Schedule: Other PWWs</t>
  </si>
  <si>
    <t>Urban Schedule: Jal Nigam</t>
  </si>
  <si>
    <t>Urban Schedule: Jal Sansthan</t>
  </si>
  <si>
    <t>Urban Schedule: Other PWWs</t>
  </si>
  <si>
    <t>SUBTOTAL (LMV-7)</t>
  </si>
  <si>
    <t>LMV-8: State Tube Wells &amp; Pump Canals upto 100 HP</t>
  </si>
  <si>
    <t>Metered STW</t>
  </si>
  <si>
    <t>Unmetered: STW/Panch.Raj/WB/ID/P.Canals/LI upto 100 BHP</t>
  </si>
  <si>
    <t>Unmetered: Laghu Dal Nahar above 100 BHP</t>
  </si>
  <si>
    <t>SUBTOTAL (LMV-8)</t>
  </si>
  <si>
    <t xml:space="preserve">LMV-9: Temporary Supply </t>
  </si>
  <si>
    <t>Metered TS: Individual residential consumers</t>
  </si>
  <si>
    <t>Metered TS: Others</t>
  </si>
  <si>
    <t>Unmetered TS: Ceremonies</t>
  </si>
  <si>
    <t>Unmetered TS: Temp shops</t>
  </si>
  <si>
    <t>SUBTOTAL (LMV-9)</t>
  </si>
  <si>
    <t>LMV-10: Departmental Employees</t>
  </si>
  <si>
    <t>Serving: Class IV Employees</t>
  </si>
  <si>
    <t>Serving: Class III Employees</t>
  </si>
  <si>
    <t>Serving: Junior Engineers &amp; Equivalent</t>
  </si>
  <si>
    <t>Serving: Assistant Engineers &amp; Equivalent</t>
  </si>
  <si>
    <t>Serving: Executive Engineers &amp; Equivalent</t>
  </si>
  <si>
    <t>Serving: Deputy General Manager &amp; Equivalent</t>
  </si>
  <si>
    <t>Serving: CGM/GM &amp; Equivalent posts and above</t>
  </si>
  <si>
    <t>Pensioners</t>
  </si>
  <si>
    <t>SUBTOTAL (LMV-10)</t>
  </si>
  <si>
    <t>HV-1: Non-Industrial Bulk Loads</t>
  </si>
  <si>
    <t>HV1 Urban Schedule: Supply at 11 kV</t>
  </si>
  <si>
    <t>HV1 Urban Schedule: Supply above 11 kV &amp; above</t>
  </si>
  <si>
    <t>HV1 Rural Schedule: Supply at 11 kV</t>
  </si>
  <si>
    <t>HV1 Rural Schedule: Supply above 11 kV &amp; above</t>
  </si>
  <si>
    <t>SUBTOTAL (HV-1)</t>
  </si>
  <si>
    <t>HV-2: Large and Heavy Power above 100 BHP (75 kW)</t>
  </si>
  <si>
    <t>HV2 Urban Schedule: Supply at 11 kV</t>
  </si>
  <si>
    <t>Urban 2200 hrs - 0600 hrs at 11kV</t>
  </si>
  <si>
    <t>Urban 0600 hrs - 1700 hrs at 11kV</t>
  </si>
  <si>
    <t>Urban 1700 hrs - 2200 hrs at 11kV</t>
  </si>
  <si>
    <t>HV2 Urban Schedule: Supply above 11 kV &amp; upto 66 kV</t>
  </si>
  <si>
    <t>Urban 2200 hrs - 0600 hrs 11-66 kV</t>
  </si>
  <si>
    <t>Urban 0600 hrs - 1700 hrs 11-66 kV</t>
  </si>
  <si>
    <t>Urban 1700 hrs - 2200 hrs 11-66 kV</t>
  </si>
  <si>
    <t>HV2 Urban Schedule: Supply above 66 kV &amp; upto 132 kV</t>
  </si>
  <si>
    <t>Urban 2200 hrs - 0600 hrs 66-132 kV</t>
  </si>
  <si>
    <t>Urban 0600 hrs - 1700 hrs 66-132 kV</t>
  </si>
  <si>
    <t>Urban 1700 hrs - 2200 hrs 66-132 kV</t>
  </si>
  <si>
    <t>HV2 Urban Schedule: Supply above 132 kV</t>
  </si>
  <si>
    <t>Urban 2200 hrs - 0600 hrs above 132 kV</t>
  </si>
  <si>
    <t>Urban 0600 hrs - 1700 hrs above 132 kV</t>
  </si>
  <si>
    <t>Urban 1700 hrs - 2200 hrs above 132 kV</t>
  </si>
  <si>
    <t>HV2 Rural Schedule: Supply at 11 kV</t>
  </si>
  <si>
    <t>HV2 Rural Schedule: Supply above 11 kV &amp; upto 66 kV</t>
  </si>
  <si>
    <t>SUBTOTAL (HV-2)</t>
  </si>
  <si>
    <t>HV-3: Railway Traction</t>
  </si>
  <si>
    <t>HV3 Supply at 132 kV and above</t>
  </si>
  <si>
    <t>HV3 Supply below 132 kV</t>
  </si>
  <si>
    <t>HV3 For Metro traction</t>
  </si>
  <si>
    <t>SUBTOTAL (HV-3)</t>
  </si>
  <si>
    <t>HV-4: Lift Irrigation &amp; P. Canals above 100 BHP (75 kW)</t>
  </si>
  <si>
    <t>HV4 Supply at 11kV</t>
  </si>
  <si>
    <t>HV4 Supply above 11kV &amp; upto 66kV</t>
  </si>
  <si>
    <t>HV4 Supply above 66 kV &amp; upto 132kV</t>
  </si>
  <si>
    <t>SUBTOTAL (HV-4)</t>
  </si>
  <si>
    <t>BULK SUPPLY</t>
  </si>
  <si>
    <t>Bulk Supply</t>
  </si>
  <si>
    <t>EXTRA STATE CONSUMER</t>
  </si>
  <si>
    <t>LMV-11: EV Charging</t>
  </si>
  <si>
    <t>Multi Story Buildings</t>
  </si>
  <si>
    <t xml:space="preserve"> Billing Determinants with Revenue </t>
  </si>
  <si>
    <t>Revenue         (Rs. Crore)</t>
  </si>
  <si>
    <t>(Previous Year Trued-Up)</t>
  </si>
  <si>
    <t>% Change of True-Up Claimed wrt Previous Year</t>
  </si>
  <si>
    <t>F=(E-A)/A</t>
  </si>
  <si>
    <t>H=(G-B)/B</t>
  </si>
  <si>
    <t>J=(I-C)/C</t>
  </si>
  <si>
    <t>N=(M-E)/E</t>
  </si>
  <si>
    <t>% Change of APR Claimed wrt True-Up Claimed</t>
  </si>
  <si>
    <t>P=(O-G)/G</t>
  </si>
  <si>
    <t>R=(Q-I)/I</t>
  </si>
  <si>
    <t>% Change of ARR Claimed wrt APR Claimed</t>
  </si>
  <si>
    <t>AB=(AA-S)/S</t>
  </si>
  <si>
    <t>(Rs. / kWh)</t>
  </si>
  <si>
    <t>ACoS</t>
  </si>
  <si>
    <t>Consumer No., Connected Load, Sales &amp; Revenue Details</t>
  </si>
  <si>
    <t>Form No: F46</t>
  </si>
  <si>
    <t>Employee Expense Capitalisation</t>
  </si>
  <si>
    <r>
      <rPr>
        <b/>
        <sz val="11"/>
        <rFont val="Calibri"/>
        <family val="2"/>
        <scheme val="minor"/>
      </rPr>
      <t>Applicable Regulatory Surcharge</t>
    </r>
    <r>
      <rPr>
        <sz val="11"/>
        <rFont val="Calibri"/>
        <family val="2"/>
        <scheme val="minor"/>
      </rPr>
      <t xml:space="preserve">: </t>
    </r>
  </si>
  <si>
    <t>Note: If there will be any revision in category/ Sub-category/ slabs proposed, the Licensee shall reproduce the heads separately against the existing.</t>
  </si>
  <si>
    <t>Rate Schedule for Proposed Tariff</t>
  </si>
  <si>
    <t>Merit Order Despatch</t>
  </si>
  <si>
    <t>Generating Stations</t>
  </si>
  <si>
    <t>Must Run 
/ Merit</t>
  </si>
  <si>
    <t>Units (MU)</t>
  </si>
  <si>
    <t>Fixed Charges (Rs.Crore)</t>
  </si>
  <si>
    <t>Per Unit FC (Rs. /kWh)</t>
  </si>
  <si>
    <t>Source of Power (Station wise)</t>
  </si>
  <si>
    <t>Installed Capacity (MW)</t>
  </si>
  <si>
    <t>Utility share (%)</t>
  </si>
  <si>
    <t>Utility share (MW)</t>
  </si>
  <si>
    <t>Energy/Variable Charges</t>
  </si>
  <si>
    <t>Late payment Surcharge</t>
  </si>
  <si>
    <t>Fixed charge</t>
  </si>
  <si>
    <t>Total cost</t>
  </si>
  <si>
    <t>Units (Approved) (MU)</t>
  </si>
  <si>
    <t>Annua Fixed Charges</t>
  </si>
  <si>
    <t>(Rs. Cr.)</t>
  </si>
  <si>
    <t>Station/Source 1</t>
  </si>
  <si>
    <t>Station/Source 2</t>
  </si>
  <si>
    <t>Short term Sources</t>
  </si>
  <si>
    <t xml:space="preserve">REC </t>
  </si>
  <si>
    <t>PGCIL Charges</t>
  </si>
  <si>
    <t>STU Charges</t>
  </si>
  <si>
    <t xml:space="preserve">Monthly Apprpriation of Power Purchase </t>
  </si>
  <si>
    <t>Month</t>
  </si>
  <si>
    <t>Allocation of Approval Power Purchase (MU)</t>
  </si>
  <si>
    <t>Apr</t>
  </si>
  <si>
    <t>Aug</t>
  </si>
  <si>
    <t>Sept</t>
  </si>
  <si>
    <t>Oct</t>
  </si>
  <si>
    <t>Nov</t>
  </si>
  <si>
    <t>Dec</t>
  </si>
  <si>
    <t>Jan</t>
  </si>
  <si>
    <t>Feb</t>
  </si>
  <si>
    <t>Mar</t>
  </si>
  <si>
    <t>Average Power Purchase Cost (Rs./kWh)</t>
  </si>
  <si>
    <t xml:space="preserve">Note: 1. Licenees are required to provide the above format Discom wise and consolidated both. </t>
  </si>
  <si>
    <t>2.  Monthly Bills have to be duly submitted to the Commission.</t>
  </si>
  <si>
    <t>3. Power Purchase details to be submitted should be linked in excel sheet.</t>
  </si>
  <si>
    <t>Allocated Approved Power Purchase Cost (Rs. Crore)</t>
  </si>
  <si>
    <t>% Change</t>
  </si>
  <si>
    <t>Justifictaion</t>
  </si>
  <si>
    <t>Avg. No. of Hours Supply Per day</t>
  </si>
  <si>
    <t>Avg. No. of Hour Supply Per day</t>
  </si>
  <si>
    <t>Government Subsidy (Rs. Crore)</t>
  </si>
  <si>
    <t>Government Additional Subsidy (Rs. Crore)</t>
  </si>
  <si>
    <t>PLF (%)</t>
  </si>
  <si>
    <t>Medium term Sources</t>
  </si>
  <si>
    <t>Long term Sources</t>
  </si>
  <si>
    <t>Note: 1.Quantum and Power Purchase Cost to be filled with the month wise bills.</t>
  </si>
  <si>
    <t>4. Information to be provided for Past Year, True-Up Year, APR Year and each year of the Control Period.</t>
  </si>
  <si>
    <t>Distribution Licensee</t>
  </si>
  <si>
    <t>No. of Mus for which MOD is to be Run =</t>
  </si>
  <si>
    <t>3. Revenue details to be submitted should be linked in excel sheet.</t>
  </si>
  <si>
    <t>Plant Type</t>
  </si>
  <si>
    <t>Energy/ Variable Charges</t>
  </si>
  <si>
    <t>Annual Energy/ Variable charge</t>
  </si>
  <si>
    <t>Energy/ Variable Charges (Rs.Crore)</t>
  </si>
  <si>
    <t>Must Run/ Merit</t>
  </si>
  <si>
    <t>Solar(Renewable)</t>
  </si>
  <si>
    <t>Non-Solar (Renewable)</t>
  </si>
  <si>
    <t>Banking</t>
  </si>
  <si>
    <t>5. Sub-total of State thermal, State Hydro, NTPC Plants, NHPC Plants, NPCIL Plants, SJVNL Plants, THDC, IPPs, State Co-Gen, Solar and Other sources should be provided.</t>
  </si>
  <si>
    <t>Bulk Supply Tariff Details</t>
  </si>
  <si>
    <t>* If Possible provide separate data for Rural &amp; Urban consumers</t>
  </si>
  <si>
    <t>2. Columns for rest of the years for Control Period shall be replicated.</t>
  </si>
  <si>
    <t>Note: Information to be provided for Past Year, True-Up Year, APR Year and each year of the Control Period.</t>
  </si>
  <si>
    <t>Other Cost (Rs.Crore)</t>
  </si>
  <si>
    <t>Per Unit Other Cost (Rs. /kWh)</t>
  </si>
  <si>
    <t>Total Cost (Rs. Crore)</t>
  </si>
  <si>
    <t>Per Unit Total Cost (Rs. /kWh)</t>
  </si>
  <si>
    <t>Form No: F41</t>
  </si>
  <si>
    <t>Form No: F42</t>
  </si>
  <si>
    <t>Form No: F43</t>
  </si>
  <si>
    <t>Power Purchase &amp; Billed Energy</t>
  </si>
  <si>
    <t xml:space="preserve">Power Purchase Cost </t>
  </si>
  <si>
    <t>(Rs. Cr)</t>
  </si>
  <si>
    <t>N</t>
  </si>
  <si>
    <t xml:space="preserve">PGCIL Inter-State Transmission Charges </t>
  </si>
  <si>
    <t>Total Power Procurement Cost</t>
  </si>
  <si>
    <t>P</t>
  </si>
  <si>
    <t xml:space="preserve">Bulk Supply Tariff </t>
  </si>
  <si>
    <t>(Rs./Unit)</t>
  </si>
  <si>
    <t>P=(0/L)*10</t>
  </si>
  <si>
    <t>Details to be provided for past 2 Years and True-Up year.</t>
  </si>
  <si>
    <t>Analysis of  Revenue Arrears</t>
  </si>
  <si>
    <t>ii) The detailed computation for the subsidy will be submitted covering the beneficiary categories/ sub-categories and the amounts.</t>
  </si>
  <si>
    <t>Energy Sent Out (Ex-bus) by Generator (after deducting auxilliary consumption) (MU)</t>
  </si>
  <si>
    <t>Total Inter state Transmission Losses (%)</t>
  </si>
  <si>
    <t>Total Intra state Transmission Losses (%)</t>
  </si>
  <si>
    <t>Energy Units received by utility at its periphery (MU)</t>
  </si>
  <si>
    <t>Availability of Genarating Station (%)</t>
  </si>
  <si>
    <t>Avg. Cost of Energy at Generator Bus</t>
  </si>
  <si>
    <t xml:space="preserve">Avg. Cost of Energy at interfacepoint of Utility </t>
  </si>
  <si>
    <t>3. Sub-total of State thermal, State Hydro, NTPC Plants, NHPC Plants, NPCIL Plants, SJVNL Plants, THDC, IPPs, State Co-Gen, Solar and Other sources should be provided.</t>
  </si>
  <si>
    <t>Per Unit EC/VC (Rs. kWh)</t>
  </si>
  <si>
    <t>Assumptions</t>
  </si>
  <si>
    <t>Power Purchase Quantum</t>
  </si>
  <si>
    <t xml:space="preserve">S. No. </t>
  </si>
  <si>
    <t>Fixed &amp; Energy Charges</t>
  </si>
  <si>
    <t>State Thermal Generating Stations (UPRVUNL)</t>
  </si>
  <si>
    <t>State Hydro Generating Stations (UPJVNL)</t>
  </si>
  <si>
    <t xml:space="preserve">IPPs / JVs </t>
  </si>
  <si>
    <t>Note: 1. Power Purchase details to be submitted should be linked in excel sheet.</t>
  </si>
  <si>
    <t xml:space="preserve">Sl. No. </t>
  </si>
  <si>
    <t>Assumptions For Power Purchase</t>
  </si>
  <si>
    <t>2. The above model should be able to give the MOD table based on F13B &amp; value filled in C4 cell.</t>
  </si>
  <si>
    <t>Power procured from own Generating Stations (if any)</t>
  </si>
  <si>
    <t xml:space="preserve">From State Generating Stations Thermal </t>
  </si>
  <si>
    <t>Anapara-A</t>
  </si>
  <si>
    <t>Anapara-B</t>
  </si>
  <si>
    <t>Obara-A</t>
  </si>
  <si>
    <t>Obara-B</t>
  </si>
  <si>
    <t>Harduaganj</t>
  </si>
  <si>
    <t>Panki</t>
  </si>
  <si>
    <t>Parichha</t>
  </si>
  <si>
    <t>vi</t>
  </si>
  <si>
    <t>vii</t>
  </si>
  <si>
    <t>viii</t>
  </si>
  <si>
    <t>ix</t>
  </si>
  <si>
    <t xml:space="preserve">From State Generating Stations Hydro </t>
  </si>
  <si>
    <t xml:space="preserve">Obra </t>
  </si>
  <si>
    <t>Rihand</t>
  </si>
  <si>
    <t>Khara</t>
  </si>
  <si>
    <t>Matatila</t>
  </si>
  <si>
    <t>UGC</t>
  </si>
  <si>
    <t>From Central Sector Generating Stations</t>
  </si>
  <si>
    <t>Thermal (NTPC)</t>
  </si>
  <si>
    <t>Anta</t>
  </si>
  <si>
    <t>Auriya</t>
  </si>
  <si>
    <t xml:space="preserve"> Rihand I</t>
  </si>
  <si>
    <t>Rihand II</t>
  </si>
  <si>
    <t>Singrauli</t>
  </si>
  <si>
    <t>Dadri Tharmal</t>
  </si>
  <si>
    <t>Dadri Gas</t>
  </si>
  <si>
    <t>Unchahar I</t>
  </si>
  <si>
    <t>Unchahar II</t>
  </si>
  <si>
    <t>Tanda</t>
  </si>
  <si>
    <t>x</t>
  </si>
  <si>
    <t>xii</t>
  </si>
  <si>
    <t>xi</t>
  </si>
  <si>
    <t>NPCIL</t>
  </si>
  <si>
    <t>NAPP</t>
  </si>
  <si>
    <t>RAPP</t>
  </si>
  <si>
    <t>Hydro (NHPC)</t>
  </si>
  <si>
    <t>Salal I &amp; II</t>
  </si>
  <si>
    <t>Tanakpur</t>
  </si>
  <si>
    <t>Chamera</t>
  </si>
  <si>
    <t>Chamera II</t>
  </si>
  <si>
    <t>Uri</t>
  </si>
  <si>
    <t>IPP/JV</t>
  </si>
  <si>
    <t>LANCO</t>
  </si>
  <si>
    <t>APCPL</t>
  </si>
  <si>
    <t>BEPL BARKHERA</t>
  </si>
  <si>
    <t xml:space="preserve">BEPL KHAMBHAKHERA </t>
  </si>
  <si>
    <t>BEPL KUNDRAKHI</t>
  </si>
  <si>
    <t>BEPL MAQSOODAPUR</t>
  </si>
  <si>
    <t>BEPL UTRAULA</t>
  </si>
  <si>
    <t>KSK MAHANADI</t>
  </si>
  <si>
    <t>LALITPUR</t>
  </si>
  <si>
    <t>M.B.POWER</t>
  </si>
  <si>
    <t>PRAYAGRAJ POWER</t>
  </si>
  <si>
    <t>R.K.M.POWER</t>
  </si>
  <si>
    <t>ROSA-1</t>
  </si>
  <si>
    <t>SASAN</t>
  </si>
  <si>
    <t>SRI NAGAR HEP</t>
  </si>
  <si>
    <t>TRN ENERGY</t>
  </si>
  <si>
    <t>xiii</t>
  </si>
  <si>
    <t>xvi</t>
  </si>
  <si>
    <t>xviii</t>
  </si>
  <si>
    <t>xvii</t>
  </si>
  <si>
    <t>NVVN Coal Power</t>
  </si>
  <si>
    <t>Less</t>
  </si>
  <si>
    <t>Late Payment Surcharge</t>
  </si>
  <si>
    <t>Captive &amp; Cogen</t>
  </si>
  <si>
    <t>Bilateral &amp; Others (Power purchased trough Trading)</t>
  </si>
  <si>
    <t>Central Generating Stations (NTPC)</t>
  </si>
  <si>
    <t>Central Generating Stations (NHPC)</t>
  </si>
  <si>
    <t>Central Generating Stations (NPCIL)</t>
  </si>
  <si>
    <t>3 (A)</t>
  </si>
  <si>
    <t>3 (B)</t>
  </si>
  <si>
    <t>3 (C)</t>
  </si>
  <si>
    <t>S. No.</t>
  </si>
  <si>
    <t>Power Purchase &amp; Monthly Appropriation of Power Purchase</t>
  </si>
  <si>
    <t>Allocation of Wheeling &amp; Retail Supply and Cross Subsidy Surcharge</t>
  </si>
  <si>
    <t>Categories</t>
  </si>
  <si>
    <t>HV-1 (Supply at 11 kV)</t>
  </si>
  <si>
    <t>HV-1 (Supply above 11 kV)</t>
  </si>
  <si>
    <t>HV-4 (Supply at 11 kV)</t>
  </si>
  <si>
    <t>Component wise Details of Employee Expenses</t>
  </si>
  <si>
    <t>Total (a+b+c+d)</t>
  </si>
  <si>
    <t>ParticulaRs.</t>
  </si>
  <si>
    <t>(1) Basic (Amount in Rs..)</t>
  </si>
  <si>
    <t>(2) Diluted (Amount in Rs..)</t>
  </si>
  <si>
    <t>FORMATS FOR TRUE-UP, APR and ARR/ TARIFF FILING BY DISTRIBUTION LICENSEES</t>
  </si>
  <si>
    <t>S.
No.</t>
  </si>
  <si>
    <t>Power Purchase or Energy Available at Discom Periphery (MU)</t>
  </si>
  <si>
    <t xml:space="preserve">Net Employee Expenses </t>
  </si>
  <si>
    <t>Net A&amp;G Expense</t>
  </si>
  <si>
    <t>Total Net O&amp;M expenses (i+ii+iii)</t>
  </si>
  <si>
    <t>Interest on Long-Term Loan</t>
  </si>
  <si>
    <t>Debits, Write-offs and any other items</t>
  </si>
  <si>
    <t>Bad and Doubtful debts</t>
  </si>
  <si>
    <t>*All categories/subcategories/ToD Slabs etc will be strictly as per Rate schedule.</t>
  </si>
  <si>
    <t>Trued-Up/Audited</t>
  </si>
  <si>
    <t>Amortisation</t>
  </si>
  <si>
    <t>Less: Grants</t>
  </si>
  <si>
    <t>Less: Consumer Contribution</t>
  </si>
  <si>
    <t>Deposit by Challan1</t>
  </si>
  <si>
    <t>Deposit by Challan2</t>
  </si>
  <si>
    <t>Total Fixed Charges or  Demand Charge  (Rs Crs)</t>
  </si>
  <si>
    <t>Total Minimum Charges (Rs Crs)</t>
  </si>
  <si>
    <t>Time- Block(s) for procurement</t>
  </si>
  <si>
    <t>Distribution Losses in LT and HT system</t>
  </si>
  <si>
    <t>Total Distribution Loss ((1-2)/1)*100%</t>
  </si>
  <si>
    <t xml:space="preserve"> R&amp;M Expense</t>
  </si>
  <si>
    <t>Opening Balance of Provision for bad and doubtful debts</t>
  </si>
  <si>
    <t>Provision for bad &amp; doubtful debts during the year</t>
  </si>
  <si>
    <t>Actual bad and doubtful debts written off</t>
  </si>
  <si>
    <t>Closing Balance of Provision for bad and doubtful debts</t>
  </si>
  <si>
    <t>Receivables for the year</t>
  </si>
  <si>
    <t>Bad and doubtful debts as per Regulations</t>
  </si>
  <si>
    <t>Bad and doubtful debt as  % of Receivables (%)</t>
  </si>
  <si>
    <t xml:space="preserve">Consumer Contribution Towards Cost of Capital Assets </t>
  </si>
  <si>
    <t>Less: Subsidy</t>
  </si>
  <si>
    <t>* The particular of asset and rate of depreciation should match with those provided in the applicable Tariff Regulations.</t>
  </si>
  <si>
    <t>True-up/Audited</t>
  </si>
  <si>
    <t>One and a half month equivalent of expected revenue from Distribution tariff</t>
  </si>
  <si>
    <t>Wheeling Charges</t>
  </si>
  <si>
    <t>Note:- 1. Information to be projected for for each year of the Control Period</t>
  </si>
  <si>
    <t>Note: Wherever required, rows may be inserted to accommodate extra data.</t>
  </si>
  <si>
    <t>Wherever required, rows may be inserted to accommodate extra data.</t>
  </si>
  <si>
    <t xml:space="preserve"> Wherever required, rows may be inserted to accommodate extra data.</t>
  </si>
  <si>
    <t>Maintenance spares @ 40% of the of the R&amp;M expenses for two months</t>
  </si>
  <si>
    <t>Revised 
Estimates</t>
  </si>
  <si>
    <t xml:space="preserve">Interest on Long-Term Loan  </t>
  </si>
  <si>
    <t>% increase (%)</t>
  </si>
  <si>
    <t>Approved
 (in TO)</t>
  </si>
  <si>
    <t>Source 1</t>
  </si>
  <si>
    <t>Source 2</t>
  </si>
  <si>
    <t>HV</t>
  </si>
  <si>
    <t>Cost of Power Procurement Expenses Profit/(Loss) Sharing</t>
  </si>
  <si>
    <t>O&amp;M Expenses Profit/(Loss) Sharing</t>
  </si>
  <si>
    <t>Smart Metering OPEX</t>
  </si>
  <si>
    <t>UPPCL O&amp;M expenses</t>
  </si>
  <si>
    <t>Finance/Bank Charges</t>
  </si>
  <si>
    <t>Additional Subsidy computed by UPERC</t>
  </si>
  <si>
    <t>RBI Interest rate as on 1st April</t>
  </si>
  <si>
    <t>Bad debt claimed</t>
  </si>
  <si>
    <t>a i</t>
  </si>
  <si>
    <t>Interest on consumer security deposit</t>
  </si>
  <si>
    <t>Investment</t>
  </si>
  <si>
    <t>Capitalisation</t>
  </si>
  <si>
    <t>Total including Interest and Employee Cost capitalised (A)</t>
  </si>
  <si>
    <t>Interest Expenses Capitalised (C)</t>
  </si>
  <si>
    <t>Total (D= A - B - C)</t>
  </si>
  <si>
    <t>Asset not belonging to Discoms (E)</t>
  </si>
  <si>
    <t>Total (F= D+E)</t>
  </si>
  <si>
    <t>** Separate Details of such assets shall be submitted by the Licensees.</t>
  </si>
  <si>
    <t>(Shortfall)/Excess (G-H -J)</t>
  </si>
  <si>
    <t>Capex and Capitalisation Details</t>
  </si>
  <si>
    <t>FY 2025-26</t>
  </si>
  <si>
    <t>True Up</t>
  </si>
  <si>
    <t>Rs. in Crores</t>
  </si>
  <si>
    <t xml:space="preserve">Total Units Ex Bus) (MU) </t>
  </si>
  <si>
    <t>Average Energy Cost Ex Bus (Rs./kWh)</t>
  </si>
  <si>
    <t>Opening GFA (Part A)</t>
  </si>
  <si>
    <t>Opening GFA (Part B)</t>
  </si>
  <si>
    <t>Opening GFA (Part C)</t>
  </si>
  <si>
    <t>Return of Equity</t>
  </si>
  <si>
    <t>From 
(hh:mm-hh:mm)</t>
  </si>
  <si>
    <t>To 
(hh:mm-hh:mm)</t>
  </si>
  <si>
    <t>A&amp;G expenses</t>
  </si>
  <si>
    <t>True up Year</t>
  </si>
  <si>
    <t>(3) Tax relating to earlier years.</t>
  </si>
  <si>
    <t>Name of Consumer</t>
  </si>
  <si>
    <t>Total Consumption(MU)</t>
  </si>
  <si>
    <t>Consumption from open Access (MU)</t>
  </si>
  <si>
    <t>FY______</t>
  </si>
  <si>
    <t>Revenue from Current Tariffs</t>
  </si>
  <si>
    <t>Rate of Energy Charge  (Rs/KWh or Rs./KVAh )</t>
  </si>
  <si>
    <t xml:space="preserve"> Rate of Fixed Charges or  Demand Charge (Rs/KVA or Rs./KW or Rs./BHP)         </t>
  </si>
  <si>
    <t xml:space="preserve">Rate of Minimum Charges (Rs./Month or Rs/KVA or Rs./KW or Rs./BHP) </t>
  </si>
  <si>
    <t>Other Charges (Rs. Crs)</t>
  </si>
  <si>
    <t>Revenue from Proposed Tariffs</t>
  </si>
  <si>
    <t xml:space="preserve"> Point of connection (inter/intra)</t>
  </si>
  <si>
    <t>HYDRO (NTPC)</t>
  </si>
  <si>
    <t>THDC</t>
  </si>
  <si>
    <t>HYDRO</t>
  </si>
  <si>
    <t>SJVN</t>
  </si>
  <si>
    <t>NEEPCO</t>
  </si>
  <si>
    <t xml:space="preserve">Thermal </t>
  </si>
  <si>
    <t>Other Sources Sub-total</t>
  </si>
  <si>
    <t xml:space="preserve">Cogen/ Captive </t>
  </si>
  <si>
    <t>Baggasse/Cogen/ CPP 1</t>
  </si>
  <si>
    <t>Baggasse/Cogen/ CPP 2</t>
  </si>
  <si>
    <t>Sub-Total Cogen/ Captive</t>
  </si>
  <si>
    <t>Solar (Existing )</t>
  </si>
  <si>
    <t>Sub-Total Solar</t>
  </si>
  <si>
    <t>WIND (Existing)</t>
  </si>
  <si>
    <t>WIND</t>
  </si>
  <si>
    <t>WIND (FY 24)</t>
  </si>
  <si>
    <t>WIND (FY 25)</t>
  </si>
  <si>
    <t>Biomass Existing</t>
  </si>
  <si>
    <t>Biomass FY 20</t>
  </si>
  <si>
    <t>MSW</t>
  </si>
  <si>
    <t>Sub-total RE other than solar</t>
  </si>
  <si>
    <t>Short Term Sources</t>
  </si>
  <si>
    <t>Reactive Energy Charges</t>
  </si>
  <si>
    <t>Case-I Transmission Charges</t>
  </si>
  <si>
    <t>RRAS</t>
  </si>
  <si>
    <t>OTHER SOURCES</t>
  </si>
  <si>
    <t>UI Charges</t>
  </si>
  <si>
    <t>OA</t>
  </si>
  <si>
    <t>Fwd/Rev Banking</t>
  </si>
  <si>
    <t>IEX Purchase</t>
  </si>
  <si>
    <t>IEX sale</t>
  </si>
  <si>
    <t>Hindustan power exchange (HPX)</t>
  </si>
  <si>
    <t xml:space="preserve">Sub Total </t>
  </si>
  <si>
    <t>NSM-II -Thermal</t>
  </si>
  <si>
    <t>ANPARA-A</t>
  </si>
  <si>
    <t>ANPARA-B</t>
  </si>
  <si>
    <t>2. Information to be provided for True-Up Year, APR Year and ARR year</t>
  </si>
  <si>
    <t>Note: Information to be provided for Past Year, True-Up Year, APR Year and ARR year</t>
  </si>
  <si>
    <t>Late Payment Surcharge (Rs. Cr.)</t>
  </si>
  <si>
    <t>Particular</t>
  </si>
  <si>
    <t>Reference</t>
  </si>
  <si>
    <t>Quantum (MU)</t>
  </si>
  <si>
    <t>Energy Consumption (Sales) (Excluding Inter-State sales)</t>
  </si>
  <si>
    <t>Energy Consumption at Discom Periphery</t>
  </si>
  <si>
    <t>Hydro Purchase during the year (Large Hydro excluding Hydro purchase considered under HPO i.e, before March 08, 2019)</t>
  </si>
  <si>
    <t>Hydro Purchase from inter-State Sources (MU)</t>
  </si>
  <si>
    <t>Hydro Purchase from intra-State Sources (MU)</t>
  </si>
  <si>
    <t>Hydro Purchased at State Periphery (MU)</t>
  </si>
  <si>
    <t>Hydro Purchase at Distribution Periphery (MU)</t>
  </si>
  <si>
    <t>Net Power Sale for RPO computation</t>
  </si>
  <si>
    <t>Total Obligation for the year (%)</t>
  </si>
  <si>
    <t>Solar (%)</t>
  </si>
  <si>
    <t>Non Solar (%)</t>
  </si>
  <si>
    <t>HPO obligation for the year (%)</t>
  </si>
  <si>
    <t>T1</t>
  </si>
  <si>
    <t>T2</t>
  </si>
  <si>
    <t>Intra state Transmission Losses</t>
  </si>
  <si>
    <t>Inter state Transmission Losses</t>
  </si>
  <si>
    <t>D=(C1*(1-T1))+C2</t>
  </si>
  <si>
    <t>E=D*(1-T2)</t>
  </si>
  <si>
    <t>F=B-E</t>
  </si>
  <si>
    <t>Total Obligation for the year(MU)</t>
  </si>
  <si>
    <t>Balance Obligation (MUs)</t>
  </si>
  <si>
    <t>Total RPO Fulfilled during the year- Non Solar</t>
  </si>
  <si>
    <t>Purchase (MU)</t>
  </si>
  <si>
    <t>Purchase from sources at Inter-State Bus (MU)</t>
  </si>
  <si>
    <t>Purchase from sources at Intrastate Bus (MU)</t>
  </si>
  <si>
    <t>Purchase from sources at DISCOM Bus (MU)*</t>
  </si>
  <si>
    <t>Purchased at State Periphery (MU)</t>
  </si>
  <si>
    <t>Purchase at Distribution Periphery (MU)</t>
  </si>
  <si>
    <t>B=A/(1-X)</t>
  </si>
  <si>
    <t>K1</t>
  </si>
  <si>
    <t>K2</t>
  </si>
  <si>
    <t>K3</t>
  </si>
  <si>
    <t>J1=F*G</t>
  </si>
  <si>
    <t>K4</t>
  </si>
  <si>
    <t>K5</t>
  </si>
  <si>
    <t>K6</t>
  </si>
  <si>
    <t>L1=(K1*(1-T1))+K2</t>
  </si>
  <si>
    <t>N1=J1-M1</t>
  </si>
  <si>
    <t>L2=(K4*(1-T1))+K5</t>
  </si>
  <si>
    <t>N2=J2-M2</t>
  </si>
  <si>
    <t>K7</t>
  </si>
  <si>
    <t>L3=(K5*(1-T1))+K6</t>
  </si>
  <si>
    <t>M1=L1*(1-T2)+K3</t>
  </si>
  <si>
    <t>M2=L2*(1-T2)+K6</t>
  </si>
  <si>
    <t>M3=L3*(1-T2)+K7</t>
  </si>
  <si>
    <t>N3=J3-M3</t>
  </si>
  <si>
    <t>J2=F*H</t>
  </si>
  <si>
    <t>J3=F*I</t>
  </si>
  <si>
    <t>Total RPO Fulfilled during the year- HPO</t>
  </si>
  <si>
    <t>Total RPO Fulfilled during the year- Solar</t>
  </si>
  <si>
    <t>Point of Connection (Inter State, STU, DISCOM)</t>
  </si>
  <si>
    <t>Type (Solar/WIND etc.)</t>
  </si>
  <si>
    <t>Purchase from sources at DISCOM Bus (MU)</t>
  </si>
  <si>
    <t>Note: Purchase from different sources should be given in a separate table source wise and the same should be linked with this format.</t>
  </si>
  <si>
    <t>* Assesment of Gross Generation by Roof top solar plants shall be done considering 20% CUF x Average Capacity during the year</t>
  </si>
  <si>
    <t>S. NO</t>
  </si>
  <si>
    <t xml:space="preserve">Start Date </t>
  </si>
  <si>
    <t>End Date</t>
  </si>
  <si>
    <t xml:space="preserve">Note: Licensee shall provide data for True Up, APR and ARR in this format </t>
  </si>
  <si>
    <t>*Note:- Information to be provided for Past year,True-Up year, APR year &amp; ARR year</t>
  </si>
  <si>
    <t>FY _______</t>
  </si>
  <si>
    <t>Amount of FERV &amp; Hedging cost included in A(a) above</t>
  </si>
  <si>
    <t>Amount of FERV &amp; Hedging cost included in B(a) above</t>
  </si>
  <si>
    <t>Amount of FERV &amp; Hedging cost included in C(a) above</t>
  </si>
  <si>
    <t>True up</t>
  </si>
  <si>
    <t>Nature of Project (As provided in Reg 32.6 MYT Regulations 2025)</t>
  </si>
  <si>
    <t>Approval of Commission</t>
  </si>
  <si>
    <t>Total capital expenditure (Rs. Crs.)</t>
  </si>
  <si>
    <t xml:space="preserve"> Equity Amount (Rs Cr)</t>
  </si>
  <si>
    <t xml:space="preserve">Information to be provided for True up, APR and ARR years for all Projects either spilling into the Control Period (FY 2025-26 to FY 2029-30) or starting during Control Period </t>
  </si>
  <si>
    <t>Note: To be filed for  ARR year</t>
  </si>
  <si>
    <t>All categories/subcategories/ToD Slabs etc will be strictly as per Rate schedule.</t>
  </si>
  <si>
    <t>Average of last 5 years</t>
  </si>
  <si>
    <t xml:space="preserve">(f) = [(a)+(b)+(c)+ (d)+(e)]/5 
</t>
  </si>
  <si>
    <t>Escalation Factor</t>
  </si>
  <si>
    <t>i= f*(1+g)*(1+h)</t>
  </si>
  <si>
    <t>Audited Expenses</t>
  </si>
  <si>
    <t>Base year value</t>
  </si>
  <si>
    <t>Note: Escalation Factor shall be  CPI for Employee expenses and WPI for A&amp;G expenses.</t>
  </si>
  <si>
    <t>Base year determination for Employee and A&amp;G expenses</t>
  </si>
  <si>
    <t>Note: Opening GFA values approved by the Commission</t>
  </si>
  <si>
    <t>Norm for R&amp;M (5% of GFA)</t>
  </si>
  <si>
    <t>Norm for R&amp;M (3% of GFA)</t>
  </si>
  <si>
    <t>Part A:</t>
  </si>
  <si>
    <t xml:space="preserve">Approved GFA up to 31.03.2020 </t>
  </si>
  <si>
    <t xml:space="preserve">Part B: </t>
  </si>
  <si>
    <t xml:space="preserve">Part C: </t>
  </si>
  <si>
    <t>Approved GFA from 01.04.2020 to 31.03.2025</t>
  </si>
  <si>
    <t>Approved GFA from 01.Apr.2025 to 31.03.2030</t>
  </si>
  <si>
    <t>Employee Category 1</t>
  </si>
  <si>
    <t>Employee Category 2</t>
  </si>
  <si>
    <t>No. of Employees</t>
  </si>
  <si>
    <t>Expenses (Rs. Cr.)</t>
  </si>
  <si>
    <t>*Here employee category means name of the post/designation in the DISCOM</t>
  </si>
  <si>
    <t>For the year</t>
  </si>
  <si>
    <t>Cumulative at the beginning of the Financial Year</t>
  </si>
  <si>
    <t>Cumulative at the end of the Financial Year</t>
  </si>
  <si>
    <t>To be filled separately for True up/APR/ARR</t>
  </si>
  <si>
    <t>Net total working capital</t>
  </si>
  <si>
    <t>Less: Surplus at the beginning of the year</t>
  </si>
  <si>
    <t xml:space="preserve">Weighted average SBI MCLR (one year) +200 basis points </t>
  </si>
  <si>
    <t xml:space="preserve">Note: Weighted average MCLR calculations to be shown separately </t>
  </si>
  <si>
    <t>Receivable from customers as at the beginning of the year*</t>
  </si>
  <si>
    <t>Total Collection for the year</t>
  </si>
  <si>
    <t>Other interest &amp; Finance charges</t>
  </si>
  <si>
    <t>CONSUMER 
CATEGORY / SUB-CATEGORY*</t>
  </si>
  <si>
    <t>Revenue FY 2022-23</t>
  </si>
  <si>
    <t>Sales FY 2022-23</t>
  </si>
  <si>
    <t>Fixed Charges (Rs. Crore)</t>
  </si>
  <si>
    <t>Energy Charges (Rs. Crore)</t>
  </si>
  <si>
    <t>Break-up of Losses for the true-up, APR and ARR year</t>
  </si>
  <si>
    <t>Supply ARR (excluding Power Purchase &amp; Transmission charges) (A)</t>
  </si>
  <si>
    <t>Regulatory Surcharge</t>
  </si>
  <si>
    <t>Voltage Level</t>
  </si>
  <si>
    <t>Consolidated</t>
  </si>
  <si>
    <t>Retail sales (B)</t>
  </si>
  <si>
    <t>linked to Energy Balance of PP model</t>
  </si>
  <si>
    <t xml:space="preserve"> System Losses At 220 kV</t>
  </si>
  <si>
    <t>Retail Supply / Distribution charge (DC) ((A/B)*10)</t>
  </si>
  <si>
    <t>Rs. / kWh</t>
  </si>
  <si>
    <t>HV-2 (Supply at 11 kV)</t>
  </si>
  <si>
    <t>HV-2 (Supply above 11 kV and upto 66kV)</t>
  </si>
  <si>
    <t>HV-2 (Supply above 66 kV and upto 132kV)</t>
  </si>
  <si>
    <t>Transmission Charge (Rs. Crore) (A)</t>
  </si>
  <si>
    <t>HV-2 (Supply above 132 kV )</t>
  </si>
  <si>
    <t>Energy Handled in Open access (Retail sales) (B)</t>
  </si>
  <si>
    <t>HV-3 (at and above 132 kV )</t>
  </si>
  <si>
    <t>Total Loss in the system (A4/A1)*100%</t>
  </si>
  <si>
    <t>Intra-state Transmission Charge (TC) ((A/B) * 10)</t>
  </si>
  <si>
    <t>HV-3 (Supply below 132kV)</t>
  </si>
  <si>
    <t xml:space="preserve"> System Losses At 132 kV</t>
  </si>
  <si>
    <t>Transmission Cost (A)</t>
  </si>
  <si>
    <t>(PGCIL/WUPPTCL/SEUPPTCL)</t>
  </si>
  <si>
    <t>HV-4 (Supply above 11 kV and upto 66kV)</t>
  </si>
  <si>
    <t>HV-4 (Supply above 66 kV and upto 132kV)</t>
  </si>
  <si>
    <t>Inter-State Transmission Charge (PC) ((A/B) *10)</t>
  </si>
  <si>
    <t>Total Loss in the system (B4/B1)*100%</t>
  </si>
  <si>
    <t>Wheeling ARR (A)</t>
  </si>
  <si>
    <t xml:space="preserve"> System Losses At 33 kV</t>
  </si>
  <si>
    <t>Wheeling charge (WC) ((A/B)*10)</t>
  </si>
  <si>
    <t>Total Loss in the system (C4/C1)*100%</t>
  </si>
  <si>
    <t>Excluding DC</t>
  </si>
  <si>
    <t>HV Categories above 66 KV and upto 132 kV (132 kV) (TC + PC + DC)</t>
  </si>
  <si>
    <t>System Losses at 11 kV</t>
  </si>
  <si>
    <t>HV Categories at 66 KV (66 kV) (TC + PC + DC)</t>
  </si>
  <si>
    <t>HV at 11 kV (TC+PC+DC+WC)</t>
  </si>
  <si>
    <t>VOLTAGE WISE LOSSES APPROVED FOR OPEN ACCESS COMPUTATION (CONSOLIDATED-DISCOMS)</t>
  </si>
  <si>
    <t>Loss Levels (%)</t>
  </si>
  <si>
    <t>Voltage Level (kV)</t>
  </si>
  <si>
    <t>Loss (%)</t>
  </si>
  <si>
    <t>Inter State Transmission Loss (PGCIL)</t>
  </si>
  <si>
    <t>220 kV</t>
  </si>
  <si>
    <t>Intra State Transmission Loss (UPPTCL)</t>
  </si>
  <si>
    <t>132 kV</t>
  </si>
  <si>
    <t>Total Loss in the system (D4/D1)*100%</t>
  </si>
  <si>
    <t>Distribution Loss above 33 kV (132kV,66 kV)</t>
  </si>
  <si>
    <t>33 kV</t>
  </si>
  <si>
    <t>Distribution Loss at 33 kV</t>
  </si>
  <si>
    <t>11 kV</t>
  </si>
  <si>
    <t>Distribution Loss at 11 kV</t>
  </si>
  <si>
    <t>LT System</t>
  </si>
  <si>
    <t>Approved Distribution Loss of all 5 Discoms (Consolidated)</t>
  </si>
  <si>
    <t>INTER-STATE TRANSMISSION LOSS FOR THE PURPOSE OF COMPUTATION OF CROSS SUBSIDY SURCHARGE</t>
  </si>
  <si>
    <t>Total Loss in the system (E3/E1)*100%</t>
  </si>
  <si>
    <t>Retail Sales</t>
  </si>
  <si>
    <t>Overall Losses</t>
  </si>
  <si>
    <t>Distribution Losses</t>
  </si>
  <si>
    <t>Energy at Discom Periphery for Retail Sales</t>
  </si>
  <si>
    <t>C=A/(1-B)</t>
  </si>
  <si>
    <t>Energy Out (A2+B2+C2+D2+E2+F2))</t>
  </si>
  <si>
    <t>Intra-State Transmission Losses</t>
  </si>
  <si>
    <t>Total T&amp;D Loss ((1-2)/1)*100%</t>
  </si>
  <si>
    <t>Energy available at State Periphery for Transmission</t>
  </si>
  <si>
    <t>E=C/(1-D)</t>
  </si>
  <si>
    <t>Inter-State Transmission Loss*</t>
  </si>
  <si>
    <t>F=1-E/G</t>
  </si>
  <si>
    <t>For CSS Calculation only</t>
  </si>
  <si>
    <t>Power Purchase Required &amp; Billed Energy (MU) (Ex-Bus)</t>
  </si>
  <si>
    <t>Energy Available at State periphery for Transmission</t>
  </si>
  <si>
    <t>Energy Purchase from Stations connected to Intra-State Transmission network (UPPTCL)</t>
  </si>
  <si>
    <t>Energy Purchase from Stations connected to Inter-State Transmission network (PGCIL)</t>
  </si>
  <si>
    <t>G=E-F</t>
  </si>
  <si>
    <t>Inter-State Transmission Loss</t>
  </si>
  <si>
    <t>Net Energy Received from Stations connected to Inter-State Transmission network at UPPTCL Periphery (Ex-Bus)</t>
  </si>
  <si>
    <t>I=G/(1-H)</t>
  </si>
  <si>
    <t>J=F+I</t>
  </si>
  <si>
    <t>* This computation is for the purpose of computing the CSS only and has been done by taking into consideration the total Ex-bus transmitted energy and the energy requirement at the State periphery which is inclusive of Inter-State and Intra-State sources</t>
  </si>
  <si>
    <t>Wh. Charge (D= PC+TC+DC+WC)</t>
  </si>
  <si>
    <t>Wt. Avg. Pr. Cost (FC)</t>
  </si>
  <si>
    <t>Wt. Avg Power Purchase Variable Cost (VC)</t>
  </si>
  <si>
    <t>Wt. Avg. Pr. Cost (C= FC+VC)</t>
  </si>
  <si>
    <t>Transmission (PGCIL) Loss (L1)</t>
  </si>
  <si>
    <t>Transmission (UPPTCL) Loss (L2)</t>
  </si>
  <si>
    <t>Distribution Loss (L3)</t>
  </si>
  <si>
    <t>R (per unit cost of carrying Regulatory Assets)</t>
  </si>
  <si>
    <t>Total Cost of Supply = [C/((1-L1)*(1-L2)*(1-L3)) + D+ R]</t>
  </si>
  <si>
    <t>HV Categories above 132 KV (i.e. 220 kV , 440 kV, etc.)</t>
  </si>
  <si>
    <t>HV Categories above 66 kV (i.e. 132 kV)</t>
  </si>
  <si>
    <t xml:space="preserve">HV Categories at 66 kV </t>
  </si>
  <si>
    <t>HV Categories upto 11 kV (i.e. 6.6 kV &amp; 11 kV)</t>
  </si>
  <si>
    <t>Average Billing Rate (ABR)</t>
  </si>
  <si>
    <t>T = ABR + R 
(i.e., Regulatory Surcharge)</t>
  </si>
  <si>
    <t>Cost of Supply</t>
  </si>
  <si>
    <t>Cross Subsidy Surcharge "CSS" (Computed)</t>
  </si>
  <si>
    <t>Cross Subsidy Surcharge "CSS” (with a cap of 20% of T)</t>
  </si>
  <si>
    <t>CSS as per New Approach</t>
  </si>
  <si>
    <t>Wt. Avg Power Purchase Fixed Cost (FC)</t>
  </si>
  <si>
    <t xml:space="preserve">Wt. Avg. Pur Cost (C= FC+VC) </t>
  </si>
  <si>
    <t xml:space="preserve">Transmission (PGCIL) Loss (L1) </t>
  </si>
  <si>
    <t xml:space="preserve">Transmission (UPPTCL) Loss (L2) </t>
  </si>
  <si>
    <t>Total Cost of Supply =                          [C/((1-L1)*(1-L2)*(1-L3)) + D+ R]</t>
  </si>
  <si>
    <t>where: L is the aggregate of transmission, distribution and commercial losses, expressed as a percentage applicable to the relevant voltage level</t>
  </si>
  <si>
    <t>Average Billing Rate (ABR) Variable</t>
  </si>
  <si>
    <t xml:space="preserve">Cost of Supply </t>
  </si>
  <si>
    <t>Reduction (%)</t>
  </si>
  <si>
    <t>Reduction (Rs/ unit)</t>
  </si>
  <si>
    <t>AGGREGATE OF TRANSMISSION, DISTRIBUTION &amp; WHEELING CHARGES, APPLICABLE TO RELEVANT VOLTAGE LEVEL) D = PC + TC + DC + WC FOR THE STATE DISCOMS FOR FY_____</t>
  </si>
  <si>
    <t>HV Categories above 132 kV (PC + TC)</t>
  </si>
  <si>
    <t>HV Categories above 11 kV and upto 33 kV</t>
  </si>
  <si>
    <t xml:space="preserve">Transmission loss considered 
</t>
  </si>
  <si>
    <t>Revenue (inclusive of Regulatory discount/surcharge)
(Rs. Cr.)</t>
  </si>
  <si>
    <t>Cross Subsidy Surcharge "CSS" (as per MYT 25) (with a cap of 20% of ACoS)</t>
  </si>
  <si>
    <t>CSS Approved by the Commission in previous T.O.</t>
  </si>
  <si>
    <t>For Tariff Order for FY______</t>
  </si>
  <si>
    <t>Total  Subsidy (Rs. Crore)</t>
  </si>
  <si>
    <t>i) Details have to be submitted for the True-Up year, APR year and ARR year</t>
  </si>
  <si>
    <t xml:space="preserve">Opening Balance </t>
  </si>
  <si>
    <t>Addition during the month</t>
  </si>
  <si>
    <t>Deduction during the month</t>
  </si>
  <si>
    <t xml:space="preserve">Closing balance </t>
  </si>
  <si>
    <t>Interest Rate (%)</t>
  </si>
  <si>
    <t>Interest on Security Deposit to be disbursed by the Licensee as per Regulations</t>
  </si>
  <si>
    <t>Interest on Security Deposit actually disbursed to the Consumers</t>
  </si>
  <si>
    <t>Difference to be disbursed</t>
  </si>
  <si>
    <t>Addition during the year</t>
  </si>
  <si>
    <t>Deduction during the year</t>
  </si>
  <si>
    <t>Number of Distribution Transformers (separately for each capacity)</t>
  </si>
  <si>
    <t>Total MVA capacity of Distribution Trfs. (separately for each capacity)</t>
  </si>
  <si>
    <t>No. of Accidents</t>
  </si>
  <si>
    <t>Compensation paid</t>
  </si>
  <si>
    <t>True up year</t>
  </si>
  <si>
    <t>Less: Electricity Duty in Bad Debts</t>
  </si>
  <si>
    <t>Details of Pending Cases as on date of filing</t>
  </si>
  <si>
    <t>Sl No.</t>
  </si>
  <si>
    <t>Description of the Case</t>
  </si>
  <si>
    <t>Forum where the case is filed</t>
  </si>
  <si>
    <t>Case No.</t>
  </si>
  <si>
    <t>Date of Filing</t>
  </si>
  <si>
    <t>Present Status</t>
  </si>
  <si>
    <t>Amount Claimed</t>
  </si>
  <si>
    <t>Month-wise details of Billing Determinants</t>
  </si>
  <si>
    <t>Consumer Category / Subcategory</t>
  </si>
  <si>
    <t>Based on Actual Meter Reading</t>
  </si>
  <si>
    <t>Based on Assessment/ Provisional</t>
  </si>
  <si>
    <t>No. of Consumers (No.)</t>
  </si>
  <si>
    <t>Demand Charges (Rs.Crore)</t>
  </si>
  <si>
    <t>Delayed Payment Surcharge (Rs. Crore)</t>
  </si>
  <si>
    <t>Regulatory Surcharge (Rs. Crore)</t>
  </si>
  <si>
    <t>Total Charges (Rs. Crore)</t>
  </si>
  <si>
    <t>Details of Land Assets</t>
  </si>
  <si>
    <t>Asset Description</t>
  </si>
  <si>
    <t>Asset Category</t>
  </si>
  <si>
    <t>Asset ID as per FAR</t>
  </si>
  <si>
    <t>Location</t>
  </si>
  <si>
    <t>Area</t>
  </si>
  <si>
    <t>Date of Capitalisation</t>
  </si>
  <si>
    <t>Quantity</t>
  </si>
  <si>
    <t>Area (Sq. m)</t>
  </si>
  <si>
    <t>Depreciation Rate</t>
  </si>
  <si>
    <t xml:space="preserve"> Gross Block (Opening) </t>
  </si>
  <si>
    <t xml:space="preserve"> Addition </t>
  </si>
  <si>
    <t xml:space="preserve"> Retirement </t>
  </si>
  <si>
    <t xml:space="preserve"> Gross Block (Closing) </t>
  </si>
  <si>
    <t>Details of Land Usage</t>
  </si>
  <si>
    <t>Utilised/ Unutilised</t>
  </si>
  <si>
    <t>* Petitioner to submit the registry/ lease deed of all land capitalised during the year</t>
  </si>
  <si>
    <t>Form No: BS1</t>
  </si>
  <si>
    <t>Form No: BS2</t>
  </si>
  <si>
    <t>Form No: BS3</t>
  </si>
  <si>
    <t>Form No: ARR</t>
  </si>
  <si>
    <t>Form No: Energy Balance</t>
  </si>
  <si>
    <t>Form No: ESR3_Curr Tariff</t>
  </si>
  <si>
    <t>#To be filed for True up, APR and ARR years</t>
  </si>
  <si>
    <t>Form No: ESR1_OA</t>
  </si>
  <si>
    <t>Form No: ESR2_Sales Forecast</t>
  </si>
  <si>
    <t>Details of Renewable Purchase Obligation</t>
  </si>
  <si>
    <t>Information on short term power procurement</t>
  </si>
  <si>
    <t>Fixed Assets and Depreciation For past year, True Up year, APR year and ARR</t>
  </si>
  <si>
    <t xml:space="preserve">True-Up Year </t>
  </si>
  <si>
    <t xml:space="preserve">ARR </t>
  </si>
  <si>
    <t>Form No: F1_PP_Annual</t>
  </si>
  <si>
    <t>Form No: F2_PP_Assump</t>
  </si>
  <si>
    <t>Form No: F3_PP_Monthly</t>
  </si>
  <si>
    <t>Form No: F4_PP_MOD</t>
  </si>
  <si>
    <t>Form No: F5_PP_Renew</t>
  </si>
  <si>
    <t>Form No: F6_PP6_RPO</t>
  </si>
  <si>
    <t>Form No: F7_PP_Comp Bid</t>
  </si>
  <si>
    <t>Form No: F8_PP_Short Term</t>
  </si>
  <si>
    <t>Form No: F9_PP_plan</t>
  </si>
  <si>
    <t>Form No: F10_PP_BST</t>
  </si>
  <si>
    <t>Form No: F11_CAP_Asset not in use</t>
  </si>
  <si>
    <t>Form No: F12_CAP_Cons Contri</t>
  </si>
  <si>
    <t>Form No: F13_CAP_Plan</t>
  </si>
  <si>
    <t>Form No: F14_CAP_Cap Cost</t>
  </si>
  <si>
    <t>Form No: F15_CAP_CWIP</t>
  </si>
  <si>
    <t>Form No: F16_CAP_CAPEX n CAPT</t>
  </si>
  <si>
    <t>Form No: F17_O&amp;M_CPI</t>
  </si>
  <si>
    <t>Form No: F18_O&amp;M_WPI</t>
  </si>
  <si>
    <t>Form No.: F19_O&amp;M_EE n AG base</t>
  </si>
  <si>
    <t>Form No: F20_O&amp;M_EE</t>
  </si>
  <si>
    <t>Form No:F21_O&amp;M_EE (A)</t>
  </si>
  <si>
    <t>Form No: F22_O&amp;M_R&amp;M</t>
  </si>
  <si>
    <t>Form No: F23_O&amp;M_A&amp;G</t>
  </si>
  <si>
    <t>Form No: F24_Dep</t>
  </si>
  <si>
    <t>Form F:F25_IOL</t>
  </si>
  <si>
    <t>Form No: F26_ROE</t>
  </si>
  <si>
    <t>Form No.:F27_Work Cap</t>
  </si>
  <si>
    <t>Form No: F28_NTI</t>
  </si>
  <si>
    <t>Form No: F29_Income Tax</t>
  </si>
  <si>
    <t>Monthly details of Consumer Security Deposit for True up year</t>
  </si>
  <si>
    <t>Form No: F30_CSD monthly</t>
  </si>
  <si>
    <t>Form No: F30A_CSD</t>
  </si>
  <si>
    <t>Form: F31_Recievables</t>
  </si>
  <si>
    <t>Details of Cross Subsidy Surchage</t>
  </si>
  <si>
    <t>Form No: ESR4_Prop Tariff</t>
  </si>
  <si>
    <t>Form No: ESR4A_Prop Tariff</t>
  </si>
  <si>
    <t>Revenue from Tariff Subsidy</t>
  </si>
  <si>
    <t>Form No: ESR6_Subsidy</t>
  </si>
  <si>
    <t>Form No: ESR7_BD month</t>
  </si>
  <si>
    <t>Distribution Loss</t>
  </si>
  <si>
    <t>P11_Land</t>
  </si>
  <si>
    <t>P10_Pending Cases</t>
  </si>
  <si>
    <t>F9_Peak Demand</t>
  </si>
  <si>
    <t>Form no: P11_Land</t>
  </si>
  <si>
    <t>Form no: P10_Pending Cases</t>
  </si>
  <si>
    <t>Form no:F9_Peak Demand</t>
  </si>
  <si>
    <t>Form No: P8_Elec Accidents</t>
  </si>
  <si>
    <t>Form No:  P7_Trans Failure</t>
  </si>
  <si>
    <t>Form No: P6_Cons Complaints</t>
  </si>
  <si>
    <t>Form No: P5_Arrear</t>
  </si>
  <si>
    <t>Form No: P4_Phy Stat</t>
  </si>
  <si>
    <t>Form No: P3_Bad Debts</t>
  </si>
  <si>
    <t>Form No: P2_AVG Supply HRS</t>
  </si>
  <si>
    <t>Form No: P1A_DL HT-LT</t>
  </si>
  <si>
    <t>Form No: P1_DL</t>
  </si>
  <si>
    <t>Sr. No</t>
  </si>
  <si>
    <t>Format Name</t>
  </si>
  <si>
    <t>Description</t>
  </si>
  <si>
    <t>BS1</t>
  </si>
  <si>
    <t>BS2</t>
  </si>
  <si>
    <t>BS3</t>
  </si>
  <si>
    <t>True up-snapshot</t>
  </si>
  <si>
    <t>ARR snapshot</t>
  </si>
  <si>
    <t>ESR1_OA</t>
  </si>
  <si>
    <t>ESR2_Sales Forecast</t>
  </si>
  <si>
    <t>ESR3_Curr Tariff</t>
  </si>
  <si>
    <t>ESR4_Prop Tariff</t>
  </si>
  <si>
    <t>ESR4A_Prop Tariff Rate Sch.</t>
  </si>
  <si>
    <t>ESR5_BD&amp;Rev</t>
  </si>
  <si>
    <t>ESR6_Subsidy</t>
  </si>
  <si>
    <t>ESR7_BD monthly</t>
  </si>
  <si>
    <t>F1_PP_Annual</t>
  </si>
  <si>
    <t>F2_PP_Assump</t>
  </si>
  <si>
    <t>F3_PP_Monthly</t>
  </si>
  <si>
    <t>F4_PP_MOD</t>
  </si>
  <si>
    <t>F5_PP_Renew</t>
  </si>
  <si>
    <t>F6_PP6_RPO</t>
  </si>
  <si>
    <t>F7_PP_Comp Bid</t>
  </si>
  <si>
    <t>F8_PP_Short Term</t>
  </si>
  <si>
    <t>F9_PP_plan</t>
  </si>
  <si>
    <t>F10_PP_BST</t>
  </si>
  <si>
    <t>F11_CAP_Asset not in use</t>
  </si>
  <si>
    <t>F12_CAP_Cons Contri</t>
  </si>
  <si>
    <t>F13_CAP_Plan</t>
  </si>
  <si>
    <t>F14_CAP_Cap Cost</t>
  </si>
  <si>
    <t>F15_CAP_CWIP</t>
  </si>
  <si>
    <t>F16_CAP_CAPEX &amp; CAPITALISATION</t>
  </si>
  <si>
    <t>F17_O&amp;M_CPI</t>
  </si>
  <si>
    <t>F18_O&amp;M_WPI</t>
  </si>
  <si>
    <t>F19_O&amp;M_EE n AG base</t>
  </si>
  <si>
    <t>F20_O&amp;M_EE</t>
  </si>
  <si>
    <t>F21_O&amp;M_EE (A)</t>
  </si>
  <si>
    <t>F22_O&amp;M_R&amp;M</t>
  </si>
  <si>
    <t>F23_O&amp;M_A&amp;G</t>
  </si>
  <si>
    <t>F24_Dep</t>
  </si>
  <si>
    <t>F25_IOL</t>
  </si>
  <si>
    <t>F26_ROE</t>
  </si>
  <si>
    <t>F27_Work Cap</t>
  </si>
  <si>
    <t>F28_NTI</t>
  </si>
  <si>
    <t>F29_Income Tax</t>
  </si>
  <si>
    <t>F30_CSD monthly</t>
  </si>
  <si>
    <t>F30A_CSD</t>
  </si>
  <si>
    <t>F31_Recievables</t>
  </si>
  <si>
    <t>F32_Wheeling-Supply</t>
  </si>
  <si>
    <t>P1_DL</t>
  </si>
  <si>
    <t>P1A_DL HT-LT</t>
  </si>
  <si>
    <t>P2_AVG Supply HRS</t>
  </si>
  <si>
    <t>P3_Bad Debts</t>
  </si>
  <si>
    <t>P4_Phy Stat</t>
  </si>
  <si>
    <t>P5_Arrear</t>
  </si>
  <si>
    <t>P6_Cons Complaints</t>
  </si>
  <si>
    <t>P7_Trans Failure</t>
  </si>
  <si>
    <t>P8_Elec Accidents</t>
  </si>
  <si>
    <t>Form: F33_CSS</t>
  </si>
  <si>
    <t>Form: Wheeling-Supply</t>
  </si>
  <si>
    <t>F33_CSS</t>
  </si>
  <si>
    <t>ANPARA-D</t>
  </si>
  <si>
    <t>HARDUAGANJ</t>
  </si>
  <si>
    <t>HARDUAGANJ EXT.</t>
  </si>
  <si>
    <t>HARDUAGANJ EXT. Stage II</t>
  </si>
  <si>
    <t>OBRA-A</t>
  </si>
  <si>
    <t>OBRA-B</t>
  </si>
  <si>
    <t>OBRA-C</t>
  </si>
  <si>
    <t>PANKI</t>
  </si>
  <si>
    <t>Panki Extension</t>
  </si>
  <si>
    <t>PARICHHA</t>
  </si>
  <si>
    <t>PARICHHA EXT.</t>
  </si>
  <si>
    <t>PARICHHA EXT. STAGE-II</t>
  </si>
  <si>
    <t>RIHAND</t>
  </si>
  <si>
    <t>OBRA ( H )</t>
  </si>
  <si>
    <t>MATATILA</t>
  </si>
  <si>
    <t>KHARA</t>
  </si>
  <si>
    <t>SHEETLA</t>
  </si>
  <si>
    <t>BELKA</t>
  </si>
  <si>
    <t>BABAIL</t>
  </si>
  <si>
    <t>ANTA GPS</t>
  </si>
  <si>
    <t>AURAIYA GPS</t>
  </si>
  <si>
    <t>DADRI GPS</t>
  </si>
  <si>
    <t>FGUTPS-I</t>
  </si>
  <si>
    <t>FGUTPS-II</t>
  </si>
  <si>
    <t>FGUTPS-III</t>
  </si>
  <si>
    <t>FGUTPS-IV</t>
  </si>
  <si>
    <t>FSTPS</t>
  </si>
  <si>
    <t>GODARWARA STPS-I</t>
  </si>
  <si>
    <t>JHANOR GPS</t>
  </si>
  <si>
    <t>KAWAS GPS</t>
  </si>
  <si>
    <t>KHARGONE STPS</t>
  </si>
  <si>
    <t>KHTPS-I</t>
  </si>
  <si>
    <t>KHTPS-II</t>
  </si>
  <si>
    <t>KORBA-I STPS</t>
  </si>
  <si>
    <t>KORBA-III STPS</t>
  </si>
  <si>
    <t>LARA STPS-I</t>
  </si>
  <si>
    <t>MAUDA-I STPS</t>
  </si>
  <si>
    <t>MAUDA-II STPS</t>
  </si>
  <si>
    <t>NABINAGAR STP</t>
  </si>
  <si>
    <t>NCTPS-I</t>
  </si>
  <si>
    <t>NCTPS-II</t>
  </si>
  <si>
    <t>RIHAND-I</t>
  </si>
  <si>
    <t>RIHAND-II</t>
  </si>
  <si>
    <t>RIHAND-III</t>
  </si>
  <si>
    <t>SINGRAULI</t>
  </si>
  <si>
    <t>SIPAT-I STPS</t>
  </si>
  <si>
    <t>SIPAT-II STPS</t>
  </si>
  <si>
    <t>SOLAPUR TPS</t>
  </si>
  <si>
    <t>TANDA -II-TPS</t>
  </si>
  <si>
    <t>TANDA -TPS</t>
  </si>
  <si>
    <t>VINDHYANCHAL-I STPS</t>
  </si>
  <si>
    <t>VINDHYANCHAL-II STPS</t>
  </si>
  <si>
    <t>VINDHYANCHAL-III STPS</t>
  </si>
  <si>
    <t>VINDHYANCHAL-IV STPS</t>
  </si>
  <si>
    <t>VINDHYANCHAL-V STPS</t>
  </si>
  <si>
    <t>KAPS</t>
  </si>
  <si>
    <t>TAPP-3 &amp; 4</t>
  </si>
  <si>
    <t>RAPP-3 &amp; 4</t>
  </si>
  <si>
    <t>RAPP-5 &amp; 6</t>
  </si>
  <si>
    <t>SALAL</t>
  </si>
  <si>
    <t>TANAKPUR</t>
  </si>
  <si>
    <t>CHAMERA-I</t>
  </si>
  <si>
    <t>URI</t>
  </si>
  <si>
    <t>CHAMERA-II</t>
  </si>
  <si>
    <t>DHAULIGANGA</t>
  </si>
  <si>
    <t>DULHASTI</t>
  </si>
  <si>
    <t>SEWA-II</t>
  </si>
  <si>
    <t>CHAMERA-III</t>
  </si>
  <si>
    <t>URI-II</t>
  </si>
  <si>
    <t>PARBATI-III HEP</t>
  </si>
  <si>
    <t>KISHANGANGA</t>
  </si>
  <si>
    <t>Koldam HPS</t>
  </si>
  <si>
    <t>Tehri</t>
  </si>
  <si>
    <t>Koteshwar</t>
  </si>
  <si>
    <t>Dhukwan</t>
  </si>
  <si>
    <t>Rampur</t>
  </si>
  <si>
    <t>Nathpa Jhakri</t>
  </si>
  <si>
    <t>Kameng HEP</t>
  </si>
  <si>
    <t>TALA</t>
  </si>
  <si>
    <t>Vishnu Prayag</t>
  </si>
  <si>
    <t>KARCHAM</t>
  </si>
  <si>
    <t>TEESTA-III</t>
  </si>
  <si>
    <t>Teesta Urja LTD</t>
  </si>
  <si>
    <t>GMR Bajoli Holi</t>
  </si>
  <si>
    <t>BEPL Barkhera</t>
  </si>
  <si>
    <t>KSK Mahanadi</t>
  </si>
  <si>
    <t>Lalitpur</t>
  </si>
  <si>
    <t>Lanco</t>
  </si>
  <si>
    <t>M.B.POWER (PTC)</t>
  </si>
  <si>
    <t xml:space="preserve">Meja Thermal Power Plant </t>
  </si>
  <si>
    <t>Nabinagar Power Project</t>
  </si>
  <si>
    <t>ROSA-1&amp;2</t>
  </si>
  <si>
    <t>Sasan</t>
  </si>
  <si>
    <t>NSM-II -Solar</t>
  </si>
  <si>
    <t>NVVNL -Thermal</t>
  </si>
  <si>
    <t xml:space="preserve">Transmission Charges </t>
  </si>
  <si>
    <t>PGCIL / POSOCO Charges</t>
  </si>
  <si>
    <t>UPPTCL Charges</t>
  </si>
  <si>
    <t xml:space="preserve">WUPPTCL Charges </t>
  </si>
  <si>
    <t xml:space="preserve">SEUPPTCL Charges </t>
  </si>
  <si>
    <t>Obra Badaun Transmission Ltd.</t>
  </si>
  <si>
    <t>Power Grid Transmission Ltd.</t>
  </si>
  <si>
    <t>Ghatampur Transmission Ltd.</t>
  </si>
  <si>
    <t>Power Grid Rampur Sambhal Trans. (PRSTL)</t>
  </si>
  <si>
    <t>Power Grid Gomti Yamuna Trans. Ltd.</t>
  </si>
  <si>
    <t>UP SLDC Charges</t>
  </si>
  <si>
    <t>MPPTCL</t>
  </si>
  <si>
    <t>FY 205-26</t>
  </si>
  <si>
    <t>FY 204-25</t>
  </si>
  <si>
    <t>FY 2026-27</t>
  </si>
  <si>
    <t>NIDP DEVELOPERS PRIVATE LIMITED</t>
  </si>
  <si>
    <t>Profit/(Loss) from discontinued operations (after tax) (X-XI)</t>
  </si>
  <si>
    <t>Profit/(Loss) for the period (IX+XII)</t>
  </si>
  <si>
    <t>True up FY 2024-25</t>
  </si>
  <si>
    <t>b) Repairs. and Maintenance Expenses</t>
  </si>
  <si>
    <t>(j) Income Tax (net)</t>
  </si>
  <si>
    <t>(k) Other non-current assets</t>
  </si>
  <si>
    <t>NIDP DEVELOPERS P. LTD</t>
  </si>
  <si>
    <t>Nature</t>
  </si>
  <si>
    <t>No. of Consumers</t>
  </si>
  <si>
    <t>HV– 1: NON - INDUSTRIAL BULK LOADS</t>
  </si>
  <si>
    <t>No</t>
  </si>
  <si>
    <t>Data Center</t>
  </si>
  <si>
    <t>HV-2 -LARGE AND HEAVY POWER</t>
  </si>
  <si>
    <t>LMV – 9: TEMPORARY SUPPLY</t>
  </si>
  <si>
    <t>Construction</t>
  </si>
  <si>
    <t>Connected Load (kVA)</t>
  </si>
  <si>
    <t>Contract Load (kVA)</t>
  </si>
  <si>
    <t>Sales (Mus) MWH</t>
  </si>
  <si>
    <t>ToD (Rs. Crs)</t>
  </si>
  <si>
    <t>Incentive / Penalty (Rs. Crs)</t>
  </si>
  <si>
    <t>Delay Payment Surcharge (Rs. Crs)</t>
  </si>
  <si>
    <t>Electricity Duty (Rs. Crs)</t>
  </si>
  <si>
    <t>Total Revenue Billed (Rs. Crs)</t>
  </si>
  <si>
    <t>Total Revenue Collected (Rs. Crs)</t>
  </si>
  <si>
    <t xml:space="preserve">Collection Efficiency </t>
  </si>
  <si>
    <t>Receivable from customers as at the beginning of the year</t>
  </si>
  <si>
    <t>Rs. Crs</t>
  </si>
  <si>
    <t>Collection for the year</t>
  </si>
  <si>
    <t xml:space="preserve"> Against current dues</t>
  </si>
  <si>
    <t xml:space="preserve"> Against arrears upto previous year</t>
  </si>
  <si>
    <t>Overall Collection</t>
  </si>
  <si>
    <r>
      <t>Regulatory Discount</t>
    </r>
    <r>
      <rPr>
        <b/>
        <strike/>
        <sz val="10"/>
        <color theme="1"/>
        <rFont val="Calibri"/>
        <family val="2"/>
        <scheme val="minor"/>
      </rPr>
      <t xml:space="preserve"> (</t>
    </r>
    <r>
      <rPr>
        <b/>
        <sz val="10"/>
        <color theme="1"/>
        <rFont val="Calibri"/>
        <family val="2"/>
        <scheme val="minor"/>
      </rPr>
      <t>Rs. Crs)</t>
    </r>
  </si>
  <si>
    <t>B = C / D</t>
  </si>
  <si>
    <t>C = D - A</t>
  </si>
  <si>
    <t>L=H+K</t>
  </si>
  <si>
    <t>InSTS Loss</t>
  </si>
  <si>
    <t>NOT APPLICABLE</t>
  </si>
  <si>
    <t>(in No.)</t>
  </si>
  <si>
    <t>Total Regulatory Discount  Rs. Crs.</t>
  </si>
  <si>
    <t>P.F.</t>
  </si>
  <si>
    <t>22:00 hrs - 04:00 hrs</t>
  </si>
  <si>
    <t>04:00 hrs - 06:00 hrs</t>
  </si>
  <si>
    <t>06:00 hrs - 10:00 hrs</t>
  </si>
  <si>
    <t>10:00 hrs - 17:00 hrs</t>
  </si>
  <si>
    <t>17:00 hrs - 19:00 hrs</t>
  </si>
  <si>
    <t>19:00 hrs - 22:00 hrs</t>
  </si>
  <si>
    <t xml:space="preserve">NOT APPLICABLE. </t>
  </si>
  <si>
    <t xml:space="preserve">TPTCL PPA </t>
  </si>
  <si>
    <t>Intra</t>
  </si>
  <si>
    <t>NO</t>
  </si>
  <si>
    <t>4-6</t>
  </si>
  <si>
    <t>Data Regarding RPO Computation (from FY 2024-25 to FY 2026-27)</t>
  </si>
  <si>
    <t>Developer 4</t>
  </si>
  <si>
    <t>TPTCL</t>
  </si>
  <si>
    <t>Closing Date of PPA
(DD/MM/YY)</t>
  </si>
  <si>
    <t>24:00</t>
  </si>
  <si>
    <t>Financial Year FY 2024-25</t>
  </si>
  <si>
    <t>Annual WPI Source*</t>
  </si>
  <si>
    <t>https://eaindustry.nic.in/download_data_1112.asp</t>
  </si>
  <si>
    <t>Annual CPI Source#</t>
  </si>
  <si>
    <t>http://labourbureau.gov.in/LBO_indexes.htm</t>
  </si>
  <si>
    <t>All India General Index | Official website of Labour Bureau, Ministry of Labour and Employment,Government of India</t>
  </si>
  <si>
    <t xml:space="preserve">Any Other Items - NPS contribution </t>
  </si>
  <si>
    <t>True-up / Audited</t>
  </si>
  <si>
    <t>Rates and Taxes</t>
  </si>
  <si>
    <t>Foreign exchange loss (net)</t>
  </si>
  <si>
    <t>Audited FY 2023-24</t>
  </si>
  <si>
    <t>True-up FY 2024-25</t>
  </si>
  <si>
    <t>APR - FY 2025-26</t>
  </si>
  <si>
    <t>ARR - FY 2026-27</t>
  </si>
  <si>
    <t>TOTAL Assets pertaining to Distribution business</t>
  </si>
  <si>
    <t>Banking and Finance Charges</t>
  </si>
  <si>
    <t>From</t>
  </si>
  <si>
    <t>To</t>
  </si>
  <si>
    <t>MCLR (one Year)</t>
  </si>
  <si>
    <t>Days</t>
  </si>
  <si>
    <t>Applicable ROI on 1st Oct'19 +2.50%</t>
  </si>
  <si>
    <t>Applicable ROI for FY 2024+25 +2.50%</t>
  </si>
  <si>
    <t>Applicable ROI for APR / ARR +2.00%</t>
  </si>
  <si>
    <t xml:space="preserve">Interest income on advances to suppliers / contractors; </t>
  </si>
  <si>
    <t>Income from hire charges from contactors and others;</t>
  </si>
  <si>
    <t>Income from delayed payment surcharge, supervision charges, etc.;</t>
  </si>
  <si>
    <t>DCM Sugars - Bagasse</t>
  </si>
  <si>
    <t>Bagasse</t>
  </si>
  <si>
    <t>Thermal - Coal</t>
  </si>
  <si>
    <t>Ref</t>
  </si>
  <si>
    <t>Average CD for Year</t>
  </si>
  <si>
    <r>
      <t xml:space="preserve">Consumption- Slabwise (MU) </t>
    </r>
    <r>
      <rPr>
        <b/>
        <vertAlign val="superscript"/>
        <sz val="11"/>
        <rFont val="Calibri"/>
        <family val="2"/>
        <scheme val="minor"/>
      </rPr>
      <t>$</t>
    </r>
  </si>
  <si>
    <t>Contract Demand/ Connected Load (KW /KVA /HP) $</t>
  </si>
  <si>
    <t>$-As on 31st March 2025</t>
  </si>
  <si>
    <t>Other Charges / ToD (Rs. Crs)</t>
  </si>
  <si>
    <t>TCS (Rs. Crs)</t>
  </si>
  <si>
    <t>Other Charges (Rs. Crore)</t>
  </si>
  <si>
    <t>ToD (Rs. Crore)</t>
  </si>
  <si>
    <t>9-11</t>
  </si>
  <si>
    <t>Short Term Sources (If any)</t>
  </si>
  <si>
    <t>Short Term Power Prcurement of 11 MW to 15 MW in FY 2026-27 with oe qurter increment every quarter and intermettient load to be met from Power Exchange</t>
  </si>
  <si>
    <t xml:space="preserve">Rate from Power Exchange - Rs. 5.95/kWh
Short Term 
April to July 26 - Rs. 5.95/kWh
Aug - March 27 - Rs. 5.25/kWh
</t>
  </si>
  <si>
    <t>Other Cost / Rebate / Liquidated Damages / SLDC Charges</t>
  </si>
  <si>
    <t>Annual Other Cost / Rebate / Liquidated Damages / SLDC Charges</t>
  </si>
  <si>
    <t xml:space="preserve">Bagasse </t>
  </si>
  <si>
    <t>DCM Shriram Ltd (DCMSL)</t>
  </si>
  <si>
    <t>Uttar Pradesh</t>
  </si>
  <si>
    <t>STU</t>
  </si>
  <si>
    <t>Kreate Energy (I) Pvt. Ltd (KEIPL)</t>
  </si>
  <si>
    <t>Total RPO Fulfilled during the year- Combined</t>
  </si>
  <si>
    <t>Cmposite Obligation for the year (%)</t>
  </si>
  <si>
    <t>I1</t>
  </si>
  <si>
    <t>J4=F*I1</t>
  </si>
  <si>
    <t>K8</t>
  </si>
  <si>
    <t>K9</t>
  </si>
  <si>
    <t>K10</t>
  </si>
  <si>
    <t>K11</t>
  </si>
  <si>
    <t>K12</t>
  </si>
  <si>
    <t xml:space="preserve">Power from Power Exchange considered at STU periphery and hence no Inter-State loss is considered </t>
  </si>
  <si>
    <t>Other Charges</t>
  </si>
  <si>
    <t>Kreate Energy (I) Pvt. Ltd (KEIPL) - From Balrampur Chini Mills Ltd. - Bagasse</t>
  </si>
  <si>
    <t>Shor term Sources - to be defined</t>
  </si>
  <si>
    <t>11-15</t>
  </si>
  <si>
    <t>Form No: F3.1_PP_Monthly</t>
  </si>
  <si>
    <t>Power Purchase &amp; Monthly Appropriation of Power Purchase - FY 2025-26</t>
  </si>
  <si>
    <t>5-6</t>
  </si>
  <si>
    <t>Form No: F3.2_PP_Monthly</t>
  </si>
  <si>
    <t>Short Term Source - To be identified</t>
  </si>
  <si>
    <t>Legal and Professional Charges</t>
  </si>
  <si>
    <t>Lodging and boarding expenses</t>
  </si>
  <si>
    <t xml:space="preserve">Add: Amount related to Captive Consumption </t>
  </si>
  <si>
    <t xml:space="preserve">Less: Amount booked related to Power Purchase Expenses </t>
  </si>
  <si>
    <t>NIL</t>
  </si>
  <si>
    <t>Air conditioning plants</t>
  </si>
  <si>
    <t>Any other assets not covered above</t>
  </si>
  <si>
    <t>Batteries</t>
  </si>
  <si>
    <t>Building-Others</t>
  </si>
  <si>
    <t>Communication equipment</t>
  </si>
  <si>
    <t>Internal wiring including fittings and apparatus</t>
  </si>
  <si>
    <t>IT equipment including software</t>
  </si>
  <si>
    <t>Lightning arrestors</t>
  </si>
  <si>
    <t>Meters</t>
  </si>
  <si>
    <t>Overhead lines including supports</t>
  </si>
  <si>
    <t>Switchgear including cable connections</t>
  </si>
  <si>
    <t>Transformers (including foundations)</t>
  </si>
  <si>
    <t>Transformers (Others)</t>
  </si>
  <si>
    <t>Less: Consumer Contribution - STU line handed over to UPTCL</t>
  </si>
  <si>
    <t>*- Assets put to use has been considered in the Gross Block of Assets</t>
  </si>
  <si>
    <t>Applicable rate of Depreciation on New Assets (%)</t>
  </si>
  <si>
    <t>Applicable rate of Depreciation on Existing Assets (%)</t>
  </si>
  <si>
    <t xml:space="preserve">Description </t>
  </si>
  <si>
    <t>S. N.</t>
  </si>
  <si>
    <t>Date of Payment</t>
  </si>
  <si>
    <t>SD Part Payment</t>
  </si>
  <si>
    <t>Building Name</t>
  </si>
  <si>
    <t>Cumulative SD</t>
  </si>
  <si>
    <t>ROI</t>
  </si>
  <si>
    <t>Interest Amount</t>
  </si>
  <si>
    <t>First instalment</t>
  </si>
  <si>
    <t>HTP - I</t>
  </si>
  <si>
    <t>NIDP</t>
  </si>
  <si>
    <t>Second instalment</t>
  </si>
  <si>
    <t>HTP - II</t>
  </si>
  <si>
    <t>Consumer Security Deposit - FY 2024-25</t>
  </si>
  <si>
    <t>Security Deposits from Consumers</t>
  </si>
  <si>
    <t>Opening Balance</t>
  </si>
  <si>
    <t>Received during the year (Net of Refunds)</t>
  </si>
  <si>
    <t>Closing Balance</t>
  </si>
  <si>
    <t>Average Security Deposit</t>
  </si>
  <si>
    <t>Net Security Deposits from Consumers</t>
  </si>
  <si>
    <t>C= A+B</t>
  </si>
  <si>
    <t>D=(A+C)/2</t>
  </si>
  <si>
    <t>F=D-E</t>
  </si>
  <si>
    <t>Security Deposit with UPSLDC</t>
  </si>
  <si>
    <t>Not Applicable</t>
  </si>
  <si>
    <t>Carrying Cost on Regulatory Asset</t>
  </si>
  <si>
    <t xml:space="preserve">Accumulated Revenue (Gap)/ Surplus from Preceding Years </t>
  </si>
  <si>
    <t>Total Unrecovered Revenue (Gap)/ Surplus before Carrying Cost (J+K)</t>
  </si>
  <si>
    <t>Cumulative Revenue (Gap)/Surplus ( L+K)</t>
  </si>
  <si>
    <t>ARR SUMMARY FOR FY 2026-27 (Rs. Crore)</t>
  </si>
  <si>
    <t>FY 2026-27
(ARR Claimed)</t>
  </si>
  <si>
    <t>Carrying Cost  - (D)</t>
  </si>
  <si>
    <t>Total Annual Revenue Requirement of Licensee E = B - C - D</t>
  </si>
  <si>
    <t>ARR SUMMARY FOR FY 2025-26 (Rs. Crore)</t>
  </si>
  <si>
    <t>FY 2025-26
(ARR Claimed)</t>
  </si>
  <si>
    <t>DISTRIBUTION / RETAIL SUPPLY CHARGES FOR PURPPOSE OF COMPUTATION OF ‘DC’ OF D FOR FY 2026-27</t>
  </si>
  <si>
    <t>INTRA-STATE TRANSMISSION CHARGES FOR PURPOSE OF COMPUTATION OF ‘TC’ OF D FOR FY 2026-27</t>
  </si>
  <si>
    <t>INTER-STATE TRANSMISSION CHARGE FOR PURPOSE OF COMPUTATION OF ‘PC’ OF D FOR FY 2026-27</t>
  </si>
  <si>
    <t>WHEELING CHARGES APPROVED BY THE COMMISSION FOR FY 2026-27 (‘WC’ OF D)</t>
  </si>
  <si>
    <t>Voltage wise loss% projected for FY 2026-27 as Submitted by Petitioner</t>
  </si>
  <si>
    <t>COST OF SUPPLY AS COMPUTED BY THE COMMISSION FOR FY 2026-27 (Rs. / kWh)</t>
  </si>
  <si>
    <t>CROSS SUBSIDY SURCHARGE COMPUTED BY THE COMMISSION FOR FY 2026-27 (Rs. /KWH)</t>
  </si>
  <si>
    <t>Total ARR for FY 2026-27</t>
  </si>
  <si>
    <t xml:space="preserve">Gross ARR - Revenue to be recovered </t>
  </si>
  <si>
    <t>AvCoS</t>
  </si>
  <si>
    <t>Add: Past Gap alongwith the Carrying Cost of past year and of FY 2026-27</t>
  </si>
  <si>
    <t>C = A + B</t>
  </si>
  <si>
    <t>Rating - mva</t>
  </si>
  <si>
    <t>FY2024-25</t>
  </si>
  <si>
    <t xml:space="preserve">Submitted in Tariff Petition </t>
  </si>
  <si>
    <t>220KV Switchyard and control room</t>
  </si>
  <si>
    <t>220KV Switchyard meter room _Civil work</t>
  </si>
  <si>
    <t>220KV Switchyard eqpt installation , building electrifications, 11kV cabkles etc</t>
  </si>
  <si>
    <t>Switchyard and SS-2 Building</t>
  </si>
  <si>
    <t>220kV Switchyard Control-Battery, UPS</t>
  </si>
  <si>
    <t>SS-2 Control room and Panel room wiring, SOC cost</t>
  </si>
  <si>
    <t>Lightning arrester-220kV</t>
  </si>
  <si>
    <t>FOTE and SCADA _communication eqpt</t>
  </si>
  <si>
    <t>SITC of HVAC Work Substation-2 -NIDP</t>
  </si>
  <si>
    <t>ABT meters and Consumer Meters</t>
  </si>
  <si>
    <t>220kV OH line-UPPTCL</t>
  </si>
  <si>
    <t>Desktop and Laptop-NIDP control room</t>
  </si>
  <si>
    <t>220kV Switchyard eqpt.</t>
  </si>
  <si>
    <t>Employee / A&amp;G Cost Capitalised (B)</t>
  </si>
  <si>
    <t>Included above of Rs. 3.30 Cr</t>
  </si>
  <si>
    <t>Submitted to Hon'ble Commission on 29.04.2023</t>
  </si>
  <si>
    <t>System Augmentation (11KV Switchboard, LT Switchboard, Batter Charger &amp; Battery Bank, Cables and Installations)</t>
  </si>
  <si>
    <t>Noida Power Company Limited
Vs
Uttar Pradesh Electricity Regulatory Commission &amp; Anr. (Appeal filed by NPCL against Order dated 19.06.2023 issued by UPERC in Petition No. 1951 of 2023 for grant of Distribution License to NIDP Developers Pvt Ltd)</t>
  </si>
  <si>
    <t>Appellate Tribunal for Electricity (APTEL)</t>
  </si>
  <si>
    <t>APL-835/2023</t>
  </si>
  <si>
    <t>NA</t>
  </si>
  <si>
    <t>Pending. Appeal is included in "List of Finals (Court-I)" and it is at Sr. No. 856 as on 02.12.2025</t>
  </si>
  <si>
    <r>
      <rPr>
        <sz val="12"/>
        <color theme="1"/>
        <rFont val="Times New Roman"/>
        <family val="1"/>
      </rPr>
      <t xml:space="preserve"> </t>
    </r>
    <r>
      <rPr>
        <sz val="12"/>
        <color theme="1"/>
        <rFont val="Calibri"/>
        <family val="2"/>
        <scheme val="minor"/>
      </rPr>
      <t>Interest income on loans / advances to employees;</t>
    </r>
  </si>
  <si>
    <r>
      <rPr>
        <sz val="12"/>
        <color theme="1"/>
        <rFont val="Times New Roman"/>
        <family val="1"/>
      </rPr>
      <t xml:space="preserve"> </t>
    </r>
    <r>
      <rPr>
        <sz val="12"/>
        <color theme="1"/>
        <rFont val="Calibri"/>
        <family val="2"/>
        <scheme val="minor"/>
      </rPr>
      <t xml:space="preserve">Income from advertisements; </t>
    </r>
  </si>
  <si>
    <r>
      <t>HV Categories above 11 kV and upto 33 kV (i.e. 33 kV</t>
    </r>
    <r>
      <rPr>
        <strike/>
        <sz val="16"/>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</si>
</sst>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 #,##0.00_ ;_ * \-#,##0.00_ ;_ * &quot;-&quot;??_ ;_ @_ "/>
    <numFmt numFmtId="164" formatCode="_(* #,##0.00_);_(* \(#,##0.00\);_(* &quot;-&quot;??_);_(@_)"/>
    <numFmt numFmtId="165" formatCode="_-* #,##0.00_-;\-* #,##0.00_-;_-* &quot;-&quot;??_-;_-@_-"/>
    <numFmt numFmtId="166" formatCode="0.00_)"/>
    <numFmt numFmtId="167" formatCode="&quot;ß&quot;#,##0.00_);\(&quot;ß&quot;#,##0.00\)"/>
    <numFmt numFmtId="168" formatCode="_-* #,##0_-;\-* #,##0_-;_-* &quot;-&quot;??_-;_-@_-"/>
    <numFmt numFmtId="169" formatCode="0.0%"/>
    <numFmt numFmtId="170" formatCode="[$-409]d\-mmm\-yy;@"/>
    <numFmt numFmtId="171" formatCode="[$-409]dd\-mmm\-yy;@"/>
    <numFmt numFmtId="172" formatCode="&quot;\&quot;#,##0;[Red]&quot;\&quot;\-#,##0"/>
    <numFmt numFmtId="173" formatCode="&quot;\&quot;#,##0.00;[Red]&quot;\&quot;\-#,##0.00"/>
    <numFmt numFmtId="174" formatCode="\$#,##0\ ;\(\$#,##0\)"/>
    <numFmt numFmtId="175" formatCode="&quot;\&quot;#,##0;[Red]&quot;\&quot;&quot;\&quot;\-#,##0"/>
    <numFmt numFmtId="176" formatCode="&quot;\&quot;#,##0.00;[Red]&quot;\&quot;&quot;\&quot;&quot;\&quot;&quot;\&quot;&quot;\&quot;&quot;\&quot;\-#,##0.00"/>
    <numFmt numFmtId="177" formatCode="&quot;VND&quot;#,##0_);[Red]\(&quot;VND&quot;#,##0\)"/>
    <numFmt numFmtId="178" formatCode="0.000"/>
    <numFmt numFmtId="179" formatCode="_ * #,##0_ ;_ * \-#,##0_ ;_ * &quot;-&quot;??_ ;_ @_ "/>
    <numFmt numFmtId="180" formatCode="_(* #,##0.000_);_(* \(#,##0.000\);_(* &quot;-&quot;??_);_(@_)"/>
    <numFmt numFmtId="181" formatCode="0.00000000000"/>
    <numFmt numFmtId="182" formatCode="0.0000"/>
    <numFmt numFmtId="183" formatCode="_ * #,##0.0000000_ ;_ * \-#,##0.0000000_ ;_ * &quot;-&quot;???????_ ;_ @_ "/>
    <numFmt numFmtId="184" formatCode="_ * #,##0.00000_ ;_ * \-#,##0.00000_ ;_ * &quot;-&quot;?????_ ;_ @_ "/>
    <numFmt numFmtId="185" formatCode="_(* #,##0_);_(* \(#,##0\);_(* &quot;-&quot;??_);_(@_)"/>
    <numFmt numFmtId="186" formatCode="[$-409]d/mmm/yy;@"/>
    <numFmt numFmtId="187" formatCode="_ * #,##0.00_ ;_ * \-#,##0.00_ ;_ * &quot;-&quot;_ ;_ @_ "/>
    <numFmt numFmtId="188" formatCode="000000000000"/>
  </numFmts>
  <fonts count="137">
    <font>
      <sz val="11"/>
      <color theme="1"/>
      <name val="Calibri"/>
      <family val="2"/>
      <scheme val="minor"/>
    </font>
    <font>
      <sz val="10"/>
      <name val="Arial"/>
      <family val="2"/>
    </font>
    <font>
      <b/>
      <sz val="12"/>
      <name val="Arial"/>
      <family val="2"/>
    </font>
    <font>
      <sz val="12"/>
      <name val="Tms Rmn"/>
    </font>
    <font>
      <sz val="10"/>
      <name val="Helv"/>
    </font>
    <font>
      <sz val="8"/>
      <name val="Arial"/>
      <family val="2"/>
    </font>
    <font>
      <sz val="7"/>
      <name val="Small Fonts"/>
      <family val="2"/>
    </font>
    <font>
      <b/>
      <i/>
      <sz val="16"/>
      <name val="Helv"/>
    </font>
    <font>
      <sz val="10"/>
      <name val="Arial"/>
      <family val="2"/>
    </font>
    <font>
      <sz val="10"/>
      <name val="Times New Roman"/>
      <family val="1"/>
    </font>
    <font>
      <sz val="11"/>
      <name val="Calibri"/>
      <family val="2"/>
      <scheme val="minor"/>
    </font>
    <font>
      <b/>
      <sz val="11"/>
      <color theme="1"/>
      <name val="Calibri"/>
      <family val="2"/>
      <scheme val="minor"/>
    </font>
    <font>
      <sz val="11"/>
      <color theme="1"/>
      <name val="Calibri"/>
      <family val="2"/>
      <scheme val="minor"/>
    </font>
    <font>
      <b/>
      <u/>
      <sz val="11"/>
      <name val="Calibri"/>
      <family val="2"/>
      <scheme val="minor"/>
    </font>
    <font>
      <b/>
      <sz val="11"/>
      <name val="Calibri"/>
      <family val="2"/>
      <scheme val="minor"/>
    </font>
    <font>
      <b/>
      <sz val="11"/>
      <color indexed="61"/>
      <name val="Calibri"/>
      <family val="2"/>
      <scheme val="minor"/>
    </font>
    <font>
      <sz val="11"/>
      <color indexed="8"/>
      <name val="Calibri"/>
      <family val="2"/>
      <scheme val="minor"/>
    </font>
    <font>
      <b/>
      <sz val="11"/>
      <color indexed="8"/>
      <name val="Calibri"/>
      <family val="2"/>
      <scheme val="minor"/>
    </font>
    <font>
      <vertAlign val="superscript"/>
      <sz val="11"/>
      <name val="Calibri"/>
      <family val="2"/>
      <scheme val="minor"/>
    </font>
    <font>
      <i/>
      <sz val="11"/>
      <name val="Calibri"/>
      <family val="2"/>
      <scheme val="minor"/>
    </font>
    <font>
      <sz val="11"/>
      <color theme="1"/>
      <name val="Arial"/>
      <family val="2"/>
    </font>
    <font>
      <u/>
      <sz val="11"/>
      <color theme="1"/>
      <name val="Calibri"/>
      <family val="2"/>
      <scheme val="minor"/>
    </font>
    <font>
      <vertAlign val="superscript"/>
      <sz val="10"/>
      <name val="Arial"/>
      <family val="2"/>
    </font>
    <font>
      <b/>
      <u/>
      <sz val="11"/>
      <color theme="1"/>
      <name val="Calibri"/>
      <family val="2"/>
      <scheme val="minor"/>
    </font>
    <font>
      <u/>
      <sz val="11"/>
      <name val="Calibri"/>
      <family val="2"/>
      <scheme val="minor"/>
    </font>
    <font>
      <sz val="12"/>
      <name val="Arial"/>
      <family val="2"/>
    </font>
    <font>
      <b/>
      <sz val="11"/>
      <color theme="0"/>
      <name val="Calibri"/>
      <family val="2"/>
      <scheme val="minor"/>
    </font>
    <font>
      <sz val="11"/>
      <color theme="0"/>
      <name val="Calibri"/>
      <family val="2"/>
      <scheme val="minor"/>
    </font>
    <font>
      <sz val="12"/>
      <color theme="1"/>
      <name val="Calibri"/>
      <family val="2"/>
    </font>
    <font>
      <b/>
      <sz val="12"/>
      <color theme="1"/>
      <name val="Calibri"/>
      <family val="2"/>
      <scheme val="minor"/>
    </font>
    <font>
      <sz val="12"/>
      <name val="¹UAAA¼"/>
      <family val="3"/>
    </font>
    <font>
      <sz val="10"/>
      <name val="VNtimes new roman"/>
      <family val="1"/>
    </font>
    <font>
      <sz val="14"/>
      <name val="뼻뮝"/>
      <family val="3"/>
    </font>
    <font>
      <sz val="12"/>
      <name val="뼻뮝"/>
      <family val="1"/>
    </font>
    <font>
      <sz val="12"/>
      <name val="바탕체"/>
      <family val="3"/>
    </font>
    <font>
      <sz val="10"/>
      <name val="굴림체"/>
      <family val="3"/>
    </font>
    <font>
      <sz val="12"/>
      <name val="新細明體"/>
      <family val="1"/>
      <charset val="136"/>
    </font>
    <font>
      <sz val="12"/>
      <color theme="1"/>
      <name val="Calibri"/>
      <family val="2"/>
      <scheme val="minor"/>
    </font>
    <font>
      <b/>
      <sz val="11"/>
      <name val="Times New Roman"/>
      <family val="1"/>
    </font>
    <font>
      <sz val="11"/>
      <name val="Times New Roman"/>
      <family val="1"/>
    </font>
    <font>
      <b/>
      <sz val="11"/>
      <color theme="1"/>
      <name val="Calibri"/>
      <family val="2"/>
    </font>
    <font>
      <b/>
      <sz val="11"/>
      <color rgb="FF000000"/>
      <name val="Calibri"/>
      <family val="2"/>
    </font>
    <font>
      <sz val="11"/>
      <color theme="1"/>
      <name val="Calibri"/>
      <family val="2"/>
    </font>
    <font>
      <sz val="11"/>
      <color rgb="FF000000"/>
      <name val="Calibri"/>
      <family val="2"/>
    </font>
    <font>
      <sz val="11"/>
      <color theme="1"/>
      <name val="Book Antiqua"/>
      <family val="2"/>
    </font>
    <font>
      <sz val="11"/>
      <color rgb="FF000000"/>
      <name val="Calibri"/>
      <family val="2"/>
      <scheme val="minor"/>
    </font>
    <font>
      <b/>
      <sz val="11"/>
      <color rgb="FF000000"/>
      <name val="Calibri"/>
      <family val="2"/>
      <scheme val="minor"/>
    </font>
    <font>
      <i/>
      <sz val="11"/>
      <color theme="1"/>
      <name val="Calibri"/>
      <family val="2"/>
      <scheme val="minor"/>
    </font>
    <font>
      <b/>
      <sz val="16"/>
      <name val="Calibri"/>
      <family val="2"/>
      <scheme val="minor"/>
    </font>
    <font>
      <sz val="11"/>
      <color theme="4" tint="-0.249977111117893"/>
      <name val="Calibri"/>
      <family val="2"/>
      <scheme val="minor"/>
    </font>
    <font>
      <b/>
      <sz val="11"/>
      <color theme="4" tint="-0.249977111117893"/>
      <name val="Calibri"/>
      <family val="2"/>
      <scheme val="minor"/>
    </font>
    <font>
      <sz val="11"/>
      <color theme="8" tint="-0.499984740745262"/>
      <name val="Calibri"/>
      <family val="2"/>
      <scheme val="minor"/>
    </font>
    <font>
      <sz val="11"/>
      <name val="Calibri"/>
      <family val="2"/>
    </font>
    <font>
      <b/>
      <sz val="11"/>
      <name val="Calibri"/>
      <family val="2"/>
    </font>
    <font>
      <b/>
      <u/>
      <sz val="11"/>
      <name val="Calibri"/>
      <family val="2"/>
    </font>
    <font>
      <sz val="11"/>
      <color theme="0"/>
      <name val="Calibri"/>
      <family val="2"/>
    </font>
    <font>
      <b/>
      <sz val="11"/>
      <color theme="0"/>
      <name val="Calibri"/>
      <family val="2"/>
    </font>
    <font>
      <u/>
      <sz val="11"/>
      <name val="Calibri"/>
      <family val="2"/>
    </font>
    <font>
      <sz val="10"/>
      <color theme="1"/>
      <name val="Calibri"/>
      <family val="2"/>
      <scheme val="minor"/>
    </font>
    <font>
      <b/>
      <sz val="10"/>
      <color theme="1"/>
      <name val="Calibri"/>
      <family val="2"/>
      <scheme val="minor"/>
    </font>
    <font>
      <sz val="11"/>
      <color indexed="61"/>
      <name val="Calibri"/>
      <family val="2"/>
      <scheme val="minor"/>
    </font>
    <font>
      <b/>
      <sz val="10"/>
      <name val="Calibri"/>
      <family val="2"/>
      <scheme val="minor"/>
    </font>
    <font>
      <sz val="10"/>
      <name val="Calibri"/>
      <family val="2"/>
      <scheme val="minor"/>
    </font>
    <font>
      <b/>
      <u/>
      <sz val="10"/>
      <name val="Calibri"/>
      <family val="2"/>
      <scheme val="minor"/>
    </font>
    <font>
      <b/>
      <sz val="67"/>
      <name val="Calibri"/>
      <family val="2"/>
      <scheme val="minor"/>
    </font>
    <font>
      <sz val="10"/>
      <color indexed="8"/>
      <name val="Calibri"/>
      <family val="2"/>
      <scheme val="minor"/>
    </font>
    <font>
      <b/>
      <sz val="20"/>
      <name val="Calibri"/>
      <family val="2"/>
      <scheme val="minor"/>
    </font>
    <font>
      <sz val="11"/>
      <color theme="1"/>
      <name val="Georgia"/>
      <family val="1"/>
    </font>
    <font>
      <sz val="9"/>
      <color indexed="81"/>
      <name val="Tahoma"/>
      <family val="2"/>
    </font>
    <font>
      <b/>
      <sz val="9"/>
      <color indexed="81"/>
      <name val="Tahoma"/>
      <family val="2"/>
    </font>
    <font>
      <b/>
      <sz val="8"/>
      <name val="Calibri"/>
      <family val="2"/>
      <scheme val="minor"/>
    </font>
    <font>
      <b/>
      <sz val="12"/>
      <name val="Times New Roman"/>
      <family val="1"/>
    </font>
    <font>
      <sz val="12"/>
      <color theme="1"/>
      <name val="Calibri  "/>
    </font>
    <font>
      <b/>
      <sz val="12"/>
      <name val="Calibri"/>
      <family val="2"/>
      <scheme val="minor"/>
    </font>
    <font>
      <sz val="12"/>
      <name val="Calibri"/>
      <family val="2"/>
      <scheme val="minor"/>
    </font>
    <font>
      <sz val="10"/>
      <color theme="0"/>
      <name val="Calibri"/>
      <family val="2"/>
      <scheme val="minor"/>
    </font>
    <font>
      <b/>
      <strike/>
      <sz val="10"/>
      <color theme="1"/>
      <name val="Calibri"/>
      <family val="2"/>
      <scheme val="minor"/>
    </font>
    <font>
      <b/>
      <sz val="50"/>
      <name val="Calibri"/>
      <family val="2"/>
      <scheme val="minor"/>
    </font>
    <font>
      <b/>
      <sz val="20"/>
      <color theme="1"/>
      <name val="Calibri"/>
      <family val="2"/>
      <scheme val="minor"/>
    </font>
    <font>
      <b/>
      <sz val="72"/>
      <name val="Calibri"/>
      <family val="2"/>
      <scheme val="minor"/>
    </font>
    <font>
      <b/>
      <sz val="24"/>
      <name val="Calibri"/>
      <family val="2"/>
      <scheme val="minor"/>
    </font>
    <font>
      <b/>
      <sz val="28"/>
      <name val="Calibri"/>
      <family val="2"/>
      <scheme val="minor"/>
    </font>
    <font>
      <b/>
      <sz val="32"/>
      <name val="Calibri"/>
      <family val="2"/>
      <scheme val="minor"/>
    </font>
    <font>
      <sz val="8"/>
      <name val="Calibri"/>
      <family val="2"/>
      <scheme val="minor"/>
    </font>
    <font>
      <sz val="10"/>
      <name val="Aptos"/>
      <family val="2"/>
    </font>
    <font>
      <sz val="10"/>
      <color theme="1"/>
      <name val="Aptos"/>
      <family val="2"/>
    </font>
    <font>
      <u/>
      <sz val="11"/>
      <color theme="10"/>
      <name val="Calibri"/>
      <family val="2"/>
      <scheme val="minor"/>
    </font>
    <font>
      <u/>
      <sz val="10"/>
      <color theme="10"/>
      <name val="Arial"/>
      <family val="2"/>
    </font>
    <font>
      <u/>
      <sz val="10"/>
      <color theme="10"/>
      <name val="Aptos"/>
      <family val="2"/>
    </font>
    <font>
      <u/>
      <sz val="11"/>
      <color theme="10"/>
      <name val="Aptos"/>
      <family val="2"/>
    </font>
    <font>
      <b/>
      <sz val="9"/>
      <color theme="1"/>
      <name val="Calibri"/>
      <family val="2"/>
      <scheme val="minor"/>
    </font>
    <font>
      <sz val="9"/>
      <color theme="1"/>
      <name val="Calibri"/>
      <family val="2"/>
      <scheme val="minor"/>
    </font>
    <font>
      <b/>
      <sz val="18"/>
      <name val="Calibri"/>
      <family val="2"/>
      <scheme val="minor"/>
    </font>
    <font>
      <b/>
      <sz val="14"/>
      <name val="Calibri"/>
      <family val="2"/>
      <scheme val="minor"/>
    </font>
    <font>
      <b/>
      <vertAlign val="superscript"/>
      <sz val="11"/>
      <name val="Calibri"/>
      <family val="2"/>
      <scheme val="minor"/>
    </font>
    <font>
      <b/>
      <sz val="35"/>
      <color theme="1"/>
      <name val="Calibri"/>
      <family val="2"/>
      <scheme val="minor"/>
    </font>
    <font>
      <sz val="10"/>
      <color theme="1"/>
      <name val="Aptos Display"/>
      <family val="2"/>
    </font>
    <font>
      <b/>
      <sz val="10"/>
      <color theme="1"/>
      <name val="Aptos Display"/>
      <family val="2"/>
    </font>
    <font>
      <b/>
      <i/>
      <sz val="11"/>
      <color theme="1"/>
      <name val="Calibri"/>
      <family val="2"/>
      <scheme val="minor"/>
    </font>
    <font>
      <b/>
      <sz val="14"/>
      <color theme="1"/>
      <name val="Calibri"/>
      <family val="2"/>
      <scheme val="minor"/>
    </font>
    <font>
      <b/>
      <sz val="14"/>
      <color indexed="8"/>
      <name val="Calibri"/>
      <family val="2"/>
      <scheme val="minor"/>
    </font>
    <font>
      <sz val="11"/>
      <color indexed="8"/>
      <name val="Calibri"/>
      <family val="2"/>
    </font>
    <font>
      <b/>
      <sz val="12"/>
      <color rgb="FF000000"/>
      <name val="Calibri"/>
      <family val="2"/>
      <scheme val="minor"/>
    </font>
    <font>
      <sz val="12"/>
      <name val="Times New Roman"/>
      <family val="1"/>
    </font>
    <font>
      <b/>
      <u/>
      <sz val="12"/>
      <name val="Calibri"/>
      <family val="2"/>
      <scheme val="minor"/>
    </font>
    <font>
      <sz val="12"/>
      <color rgb="FF000000"/>
      <name val="Calibri"/>
      <family val="2"/>
      <scheme val="minor"/>
    </font>
    <font>
      <b/>
      <sz val="12"/>
      <color indexed="8"/>
      <name val="Calibri"/>
      <family val="2"/>
      <scheme val="minor"/>
    </font>
    <font>
      <sz val="12"/>
      <name val="Calibri"/>
      <family val="2"/>
    </font>
    <font>
      <b/>
      <sz val="12"/>
      <name val="Calibri"/>
      <family val="2"/>
    </font>
    <font>
      <sz val="12"/>
      <name val="Book Antiqua"/>
      <family val="1"/>
    </font>
    <font>
      <sz val="12"/>
      <name val="Cambria"/>
      <family val="1"/>
    </font>
    <font>
      <sz val="12"/>
      <color indexed="8"/>
      <name val="Calibri"/>
      <family val="2"/>
      <scheme val="minor"/>
    </font>
    <font>
      <b/>
      <sz val="12"/>
      <color theme="1"/>
      <name val="Calibri"/>
      <family val="2"/>
    </font>
    <font>
      <b/>
      <u/>
      <sz val="12"/>
      <color theme="1"/>
      <name val="Calibri"/>
      <family val="2"/>
      <scheme val="minor"/>
    </font>
    <font>
      <b/>
      <sz val="12"/>
      <color theme="1"/>
      <name val="Calibri  "/>
    </font>
    <font>
      <b/>
      <sz val="11.5"/>
      <color theme="1"/>
      <name val="Calibri"/>
      <family val="2"/>
      <scheme val="minor"/>
    </font>
    <font>
      <sz val="11.5"/>
      <color theme="1"/>
      <name val="Calibri"/>
      <family val="2"/>
      <scheme val="minor"/>
    </font>
    <font>
      <b/>
      <u/>
      <sz val="11.5"/>
      <color theme="1"/>
      <name val="Calibri"/>
      <family val="2"/>
      <scheme val="minor"/>
    </font>
    <font>
      <u/>
      <sz val="11.5"/>
      <color theme="1"/>
      <name val="Calibri"/>
      <family val="2"/>
      <scheme val="minor"/>
    </font>
    <font>
      <sz val="12"/>
      <color theme="1"/>
      <name val="Calibri"/>
      <family val="1"/>
      <scheme val="minor"/>
    </font>
    <font>
      <sz val="12"/>
      <color theme="1"/>
      <name val="Times New Roman"/>
      <family val="1"/>
    </font>
    <font>
      <b/>
      <sz val="12"/>
      <color theme="1"/>
      <name val="Cambria"/>
      <family val="1"/>
    </font>
    <font>
      <sz val="12"/>
      <color theme="1"/>
      <name val="Cambria"/>
      <family val="1"/>
    </font>
    <font>
      <b/>
      <sz val="12"/>
      <color rgb="FF000000"/>
      <name val="Calibri"/>
      <family val="2"/>
    </font>
    <font>
      <sz val="12"/>
      <color rgb="FF000000"/>
      <name val="Calibri"/>
      <family val="2"/>
    </font>
    <font>
      <b/>
      <sz val="12"/>
      <color theme="1"/>
      <name val="Times New Roman"/>
      <family val="1"/>
    </font>
    <font>
      <b/>
      <sz val="12"/>
      <color theme="1"/>
      <name val="Aptos Display"/>
      <family val="2"/>
    </font>
    <font>
      <sz val="16"/>
      <color theme="1"/>
      <name val="Calibri"/>
      <family val="2"/>
      <scheme val="minor"/>
    </font>
    <font>
      <b/>
      <u/>
      <sz val="16"/>
      <name val="Calibri"/>
      <family val="2"/>
      <scheme val="minor"/>
    </font>
    <font>
      <b/>
      <sz val="16"/>
      <color theme="1"/>
      <name val="Calibri"/>
      <family val="2"/>
      <scheme val="minor"/>
    </font>
    <font>
      <sz val="16"/>
      <color rgb="FF000000"/>
      <name val="Calibri"/>
      <family val="2"/>
      <scheme val="minor"/>
    </font>
    <font>
      <b/>
      <sz val="16"/>
      <color rgb="FF000000"/>
      <name val="Calibri"/>
      <family val="2"/>
      <scheme val="minor"/>
    </font>
    <font>
      <sz val="16"/>
      <color rgb="FF000000"/>
      <name val="Calibri Light"/>
      <family val="2"/>
    </font>
    <font>
      <b/>
      <sz val="16"/>
      <color rgb="FF000000"/>
      <name val="Calibri Light"/>
      <family val="2"/>
    </font>
    <font>
      <sz val="16"/>
      <name val="Calibri"/>
      <family val="2"/>
      <scheme val="minor"/>
    </font>
    <font>
      <strike/>
      <sz val="16"/>
      <color theme="1"/>
      <name val="Calibri"/>
      <family val="2"/>
      <scheme val="minor"/>
    </font>
    <font>
      <sz val="16"/>
      <color rgb="FF000000"/>
      <name val="Bookman Old Style"/>
      <family val="1"/>
    </font>
  </fonts>
  <fills count="3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4"/>
        <bgColor indexed="64"/>
      </patternFill>
    </fill>
    <fill>
      <patternFill patternType="solid">
        <fgColor theme="0"/>
        <bgColor indexed="64"/>
      </patternFill>
    </fill>
    <fill>
      <patternFill patternType="solid">
        <fgColor theme="3" tint="0.59999389629810485"/>
        <bgColor indexed="64"/>
      </patternFill>
    </fill>
    <fill>
      <patternFill patternType="solid">
        <fgColor indexed="9"/>
      </patternFill>
    </fill>
    <fill>
      <patternFill patternType="solid">
        <fgColor theme="4" tint="0.59999389629810485"/>
        <bgColor indexed="64"/>
      </patternFill>
    </fill>
    <fill>
      <patternFill patternType="solid">
        <fgColor rgb="FFB8CCE4"/>
        <bgColor indexed="64"/>
      </patternFill>
    </fill>
    <fill>
      <patternFill patternType="solid">
        <fgColor theme="0" tint="-4.9989318521683403E-2"/>
        <bgColor indexed="64"/>
      </patternFill>
    </fill>
    <fill>
      <patternFill patternType="solid">
        <fgColor indexed="9"/>
        <bgColor indexed="64"/>
      </patternFill>
    </fill>
    <fill>
      <patternFill patternType="solid">
        <fgColor theme="4" tint="0.59999389629810485"/>
        <bgColor rgb="FF000000"/>
      </patternFill>
    </fill>
    <fill>
      <patternFill patternType="solid">
        <fgColor rgb="FFC5D9F1"/>
        <bgColor indexed="64"/>
      </patternFill>
    </fill>
    <fill>
      <patternFill patternType="solid">
        <fgColor rgb="FFB4C6E7"/>
        <bgColor indexed="64"/>
      </patternFill>
    </fill>
    <fill>
      <patternFill patternType="solid">
        <fgColor theme="3" tint="0.79998168889431442"/>
        <bgColor indexed="64"/>
      </patternFill>
    </fill>
    <fill>
      <patternFill patternType="solid">
        <fgColor indexed="65"/>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FFFFFF"/>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01FF56"/>
        <bgColor indexed="64"/>
      </patternFill>
    </fill>
    <fill>
      <patternFill patternType="solid">
        <fgColor theme="2" tint="-9.9978637043366805E-2"/>
        <bgColor indexed="64"/>
      </patternFill>
    </fill>
    <fill>
      <patternFill patternType="solid">
        <fgColor rgb="FFDCE6F1"/>
        <bgColor indexed="64"/>
      </patternFill>
    </fill>
    <fill>
      <patternFill patternType="solid">
        <fgColor theme="8" tint="0.79998168889431442"/>
        <bgColor indexed="64"/>
      </patternFill>
    </fill>
    <fill>
      <patternFill patternType="solid">
        <fgColor rgb="FFD9E2F3"/>
        <bgColor indexed="64"/>
      </patternFill>
    </fill>
    <fill>
      <patternFill patternType="solid">
        <fgColor rgb="FF0070C0"/>
        <bgColor indexed="64"/>
      </patternFill>
    </fill>
    <fill>
      <patternFill patternType="solid">
        <fgColor theme="8"/>
        <bgColor indexed="64"/>
      </patternFill>
    </fill>
    <fill>
      <patternFill patternType="solid">
        <fgColor theme="4" tint="0.39997558519241921"/>
        <bgColor indexed="64"/>
      </patternFill>
    </fill>
  </fills>
  <borders count="57">
    <border>
      <left/>
      <right/>
      <top/>
      <bottom/>
      <diagonal/>
    </border>
    <border>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theme="1"/>
      </left>
      <right style="thin">
        <color theme="1"/>
      </right>
      <top style="thin">
        <color theme="1"/>
      </top>
      <bottom style="thin">
        <color theme="1"/>
      </bottom>
      <diagonal/>
    </border>
    <border>
      <left style="thin">
        <color theme="0" tint="-0.34998626667073579"/>
      </left>
      <right style="thin">
        <color theme="0" tint="-0.34998626667073579"/>
      </right>
      <top/>
      <bottom style="thin">
        <color theme="0" tint="-0.34998626667073579"/>
      </bottom>
      <diagonal/>
    </border>
    <border>
      <left style="medium">
        <color indexed="64"/>
      </left>
      <right style="medium">
        <color indexed="64"/>
      </right>
      <top style="medium">
        <color indexed="64"/>
      </top>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thin">
        <color theme="1"/>
      </left>
      <right style="thin">
        <color theme="1"/>
      </right>
      <top/>
      <bottom style="thin">
        <color theme="1"/>
      </bottom>
      <diagonal/>
    </border>
    <border>
      <left style="medium">
        <color indexed="64"/>
      </left>
      <right style="thin">
        <color indexed="64"/>
      </right>
      <top style="medium">
        <color indexed="64"/>
      </top>
      <bottom style="thin">
        <color indexed="64"/>
      </bottom>
      <diagonal/>
    </border>
    <border>
      <left style="thin">
        <color theme="1"/>
      </left>
      <right style="thin">
        <color theme="1"/>
      </right>
      <top style="thin">
        <color theme="1"/>
      </top>
      <bottom/>
      <diagonal/>
    </border>
    <border>
      <left style="thin">
        <color indexed="64"/>
      </left>
      <right style="thin">
        <color indexed="64"/>
      </right>
      <top style="thin">
        <color indexed="64"/>
      </top>
      <bottom style="medium">
        <color indexed="64"/>
      </bottom>
      <diagonal/>
    </border>
    <border>
      <left style="thin">
        <color theme="1"/>
      </left>
      <right/>
      <top style="thin">
        <color theme="1"/>
      </top>
      <bottom style="thin">
        <color theme="1"/>
      </bottom>
      <diagonal/>
    </border>
    <border>
      <left style="medium">
        <color theme="1"/>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thin">
        <color theme="1"/>
      </left>
      <right style="thin">
        <color theme="1"/>
      </right>
      <top/>
      <bottom/>
      <diagonal/>
    </border>
    <border>
      <left/>
      <right/>
      <top style="thin">
        <color theme="1"/>
      </top>
      <bottom/>
      <diagonal/>
    </border>
    <border>
      <left style="thin">
        <color indexed="64"/>
      </left>
      <right style="medium">
        <color indexed="64"/>
      </right>
      <top style="thin">
        <color indexed="64"/>
      </top>
      <bottom/>
      <diagonal/>
    </border>
    <border>
      <left style="medium">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theme="1"/>
      </bottom>
      <diagonal/>
    </border>
  </borders>
  <cellStyleXfs count="130">
    <xf numFmtId="0" fontId="0" fillId="0" borderId="0"/>
    <xf numFmtId="0" fontId="1" fillId="0" borderId="0"/>
    <xf numFmtId="0" fontId="3" fillId="0" borderId="0" applyNumberFormat="0" applyFill="0" applyBorder="0" applyAlignment="0" applyProtection="0"/>
    <xf numFmtId="165" fontId="1" fillId="0" borderId="0" applyFont="0" applyFill="0" applyBorder="0" applyAlignment="0" applyProtection="0"/>
    <xf numFmtId="0" fontId="4" fillId="0" borderId="1"/>
    <xf numFmtId="165" fontId="8" fillId="0" borderId="0" applyFont="0" applyFill="0" applyBorder="0" applyAlignment="0" applyProtection="0"/>
    <xf numFmtId="0" fontId="4" fillId="0" borderId="1"/>
    <xf numFmtId="38" fontId="5" fillId="2" borderId="0" applyNumberFormat="0" applyBorder="0" applyAlignment="0" applyProtection="0"/>
    <xf numFmtId="0" fontId="2" fillId="0" borderId="2" applyNumberFormat="0" applyAlignment="0" applyProtection="0">
      <alignment horizontal="left" vertical="center"/>
    </xf>
    <xf numFmtId="0" fontId="2" fillId="0" borderId="3">
      <alignment horizontal="left" vertical="center"/>
    </xf>
    <xf numFmtId="10" fontId="5" fillId="3" borderId="4" applyNumberFormat="0" applyBorder="0" applyAlignment="0" applyProtection="0"/>
    <xf numFmtId="37" fontId="6" fillId="0" borderId="0"/>
    <xf numFmtId="166" fontId="7" fillId="0" borderId="0"/>
    <xf numFmtId="0" fontId="8" fillId="0" borderId="0"/>
    <xf numFmtId="9" fontId="1" fillId="0" borderId="0" applyFont="0" applyFill="0" applyBorder="0" applyAlignment="0" applyProtection="0"/>
    <xf numFmtId="167" fontId="1" fillId="0" borderId="0" applyFont="0" applyFill="0" applyBorder="0" applyAlignment="0" applyProtection="0"/>
    <xf numFmtId="10" fontId="1" fillId="0" borderId="0" applyFont="0" applyFill="0" applyBorder="0" applyAlignment="0" applyProtection="0"/>
    <xf numFmtId="0" fontId="8"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12" fillId="0" borderId="0" applyFont="0" applyFill="0" applyBorder="0" applyAlignment="0" applyProtection="0"/>
    <xf numFmtId="0" fontId="8" fillId="0" borderId="0"/>
    <xf numFmtId="165" fontId="8" fillId="0" borderId="0" applyFont="0" applyFill="0" applyBorder="0" applyAlignment="0" applyProtection="0"/>
    <xf numFmtId="9" fontId="8" fillId="0" borderId="0" applyFont="0" applyFill="0" applyBorder="0" applyAlignment="0" applyProtection="0"/>
    <xf numFmtId="10" fontId="8" fillId="0" borderId="0" applyFont="0" applyFill="0" applyBorder="0" applyAlignment="0" applyProtection="0"/>
    <xf numFmtId="0" fontId="8"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164" fontId="12" fillId="0" borderId="0" applyFont="0" applyFill="0" applyBorder="0" applyAlignment="0" applyProtection="0"/>
    <xf numFmtId="0" fontId="25" fillId="7" borderId="0"/>
    <xf numFmtId="0" fontId="1" fillId="0" borderId="0"/>
    <xf numFmtId="0" fontId="1" fillId="0" borderId="0"/>
    <xf numFmtId="0" fontId="1" fillId="0" borderId="0"/>
    <xf numFmtId="0" fontId="1" fillId="0" borderId="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applyFont="0" applyFill="0" applyBorder="0" applyAlignment="0" applyProtection="0"/>
    <xf numFmtId="0" fontId="30" fillId="0" borderId="0"/>
    <xf numFmtId="0" fontId="30" fillId="0" borderId="0"/>
    <xf numFmtId="3" fontId="1" fillId="0" borderId="0" applyFont="0" applyFill="0" applyBorder="0" applyAlignment="0" applyProtection="0"/>
    <xf numFmtId="174" fontId="1" fillId="0" borderId="0" applyFont="0" applyFill="0" applyBorder="0" applyAlignment="0" applyProtection="0"/>
    <xf numFmtId="0" fontId="1" fillId="0" borderId="0" applyFont="0" applyFill="0" applyBorder="0" applyAlignment="0" applyProtection="0"/>
    <xf numFmtId="2" fontId="1" fillId="0" borderId="0" applyFont="0" applyFill="0" applyBorder="0" applyAlignment="0" applyProtection="0"/>
    <xf numFmtId="177" fontId="31" fillId="0" borderId="0"/>
    <xf numFmtId="0" fontId="12" fillId="0" borderId="0"/>
    <xf numFmtId="0" fontId="1" fillId="0" borderId="0"/>
    <xf numFmtId="0" fontId="1" fillId="0" borderId="0" applyNumberFormat="0" applyFill="0" applyBorder="0" applyAlignment="0" applyProtection="0"/>
    <xf numFmtId="40" fontId="32" fillId="0" borderId="0" applyFont="0" applyFill="0" applyBorder="0" applyAlignment="0" applyProtection="0"/>
    <xf numFmtId="38"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10" fontId="1" fillId="0" borderId="0" applyFont="0" applyFill="0" applyBorder="0" applyAlignment="0" applyProtection="0"/>
    <xf numFmtId="0" fontId="33" fillId="0" borderId="0"/>
    <xf numFmtId="175" fontId="1" fillId="0" borderId="0" applyFont="0" applyFill="0" applyBorder="0" applyAlignment="0" applyProtection="0"/>
    <xf numFmtId="176" fontId="1" fillId="0" borderId="0" applyFont="0" applyFill="0" applyBorder="0" applyAlignment="0" applyProtection="0"/>
    <xf numFmtId="173" fontId="34" fillId="0" borderId="0" applyFont="0" applyFill="0" applyBorder="0" applyAlignment="0" applyProtection="0"/>
    <xf numFmtId="172" fontId="34" fillId="0" borderId="0" applyFont="0" applyFill="0" applyBorder="0" applyAlignment="0" applyProtection="0"/>
    <xf numFmtId="0" fontId="35" fillId="0" borderId="0"/>
    <xf numFmtId="0" fontId="36" fillId="0" borderId="0"/>
    <xf numFmtId="165" fontId="36" fillId="0" borderId="0" applyFont="0" applyFill="0" applyBorder="0" applyAlignment="0" applyProtection="0"/>
    <xf numFmtId="0" fontId="1" fillId="0" borderId="0">
      <alignment vertical="center"/>
    </xf>
    <xf numFmtId="0" fontId="1" fillId="0" borderId="0">
      <alignment vertical="center"/>
    </xf>
    <xf numFmtId="0" fontId="1" fillId="0" borderId="0"/>
    <xf numFmtId="0" fontId="1" fillId="0" borderId="0">
      <alignment vertical="center"/>
    </xf>
    <xf numFmtId="0" fontId="9" fillId="0" borderId="0"/>
    <xf numFmtId="0" fontId="44" fillId="0" borderId="0"/>
    <xf numFmtId="9" fontId="44" fillId="0" borderId="0" applyFont="0" applyFill="0" applyBorder="0" applyAlignment="0" applyProtection="0"/>
    <xf numFmtId="43" fontId="1" fillId="0" borderId="0" applyFont="0" applyFill="0" applyBorder="0" applyAlignment="0" applyProtection="0"/>
    <xf numFmtId="164" fontId="12" fillId="0" borderId="0" applyFont="0" applyFill="0" applyBorder="0" applyAlignment="0" applyProtection="0"/>
    <xf numFmtId="0" fontId="12" fillId="0" borderId="0"/>
    <xf numFmtId="164" fontId="1" fillId="0" borderId="0" applyFont="0" applyFill="0" applyBorder="0" applyAlignment="0" applyProtection="0"/>
    <xf numFmtId="0" fontId="1" fillId="0" borderId="0"/>
    <xf numFmtId="43" fontId="12" fillId="0" borderId="0" applyFont="0" applyFill="0" applyBorder="0" applyAlignment="0" applyProtection="0"/>
    <xf numFmtId="164" fontId="12" fillId="0" borderId="0" applyFont="0" applyFill="0" applyBorder="0" applyAlignment="0" applyProtection="0"/>
    <xf numFmtId="0" fontId="1" fillId="0" borderId="0"/>
    <xf numFmtId="43" fontId="12" fillId="0" borderId="0" applyFont="0" applyFill="0" applyBorder="0" applyAlignment="0" applyProtection="0"/>
    <xf numFmtId="0" fontId="42" fillId="0" borderId="0"/>
    <xf numFmtId="43" fontId="12" fillId="0" borderId="0" applyFont="0" applyFill="0" applyBorder="0" applyAlignment="0" applyProtection="0"/>
    <xf numFmtId="43" fontId="1" fillId="0" borderId="0" applyFont="0" applyFill="0" applyBorder="0" applyAlignment="0" applyProtection="0"/>
    <xf numFmtId="0" fontId="86" fillId="0" borderId="0" applyNumberFormat="0" applyFill="0" applyBorder="0" applyAlignment="0" applyProtection="0"/>
    <xf numFmtId="0" fontId="12" fillId="0" borderId="0"/>
    <xf numFmtId="0" fontId="87" fillId="0" borderId="0" applyNumberFormat="0" applyFill="0" applyBorder="0" applyAlignment="0" applyProtection="0"/>
    <xf numFmtId="0" fontId="1" fillId="0" borderId="0"/>
    <xf numFmtId="0" fontId="12" fillId="0" borderId="0"/>
  </cellStyleXfs>
  <cellXfs count="2211">
    <xf numFmtId="0" fontId="0" fillId="0" borderId="0" xfId="0"/>
    <xf numFmtId="0" fontId="0" fillId="0" borderId="4" xfId="0" applyBorder="1"/>
    <xf numFmtId="0" fontId="11" fillId="0" borderId="0" xfId="0" applyFont="1"/>
    <xf numFmtId="0" fontId="10" fillId="0" borderId="0" xfId="0" applyFont="1"/>
    <xf numFmtId="0" fontId="14" fillId="0" borderId="4" xfId="0" applyFont="1" applyBorder="1" applyAlignment="1">
      <alignment horizontal="center" vertical="center"/>
    </xf>
    <xf numFmtId="0" fontId="10" fillId="0" borderId="4" xfId="0" applyFont="1" applyBorder="1" applyAlignment="1">
      <alignment horizontal="center"/>
    </xf>
    <xf numFmtId="0" fontId="10" fillId="0" borderId="4" xfId="0" applyFont="1" applyBorder="1" applyAlignment="1">
      <alignment horizontal="center" vertical="center"/>
    </xf>
    <xf numFmtId="0" fontId="10" fillId="0" borderId="4" xfId="0" applyFont="1" applyBorder="1"/>
    <xf numFmtId="0" fontId="10" fillId="0" borderId="4" xfId="0" applyFont="1" applyBorder="1" applyAlignment="1">
      <alignment vertical="center"/>
    </xf>
    <xf numFmtId="0" fontId="12" fillId="0" borderId="0" xfId="0" applyFont="1"/>
    <xf numFmtId="0" fontId="10" fillId="0" borderId="0" xfId="0" applyFont="1" applyAlignment="1">
      <alignment vertical="top"/>
    </xf>
    <xf numFmtId="0" fontId="10" fillId="0" borderId="4" xfId="0" applyFont="1" applyBorder="1" applyAlignment="1">
      <alignment vertical="top"/>
    </xf>
    <xf numFmtId="0" fontId="10" fillId="0" borderId="4" xfId="0" applyFont="1" applyBorder="1" applyAlignment="1">
      <alignment horizontal="left" wrapText="1"/>
    </xf>
    <xf numFmtId="0" fontId="10" fillId="0" borderId="4" xfId="0" applyFont="1" applyBorder="1" applyAlignment="1">
      <alignment vertical="top" wrapText="1"/>
    </xf>
    <xf numFmtId="0" fontId="14" fillId="0" borderId="0" xfId="0" applyFont="1" applyAlignment="1">
      <alignment horizontal="center"/>
    </xf>
    <xf numFmtId="0" fontId="14" fillId="0" borderId="4" xfId="0" applyFont="1" applyBorder="1" applyAlignment="1">
      <alignment horizontal="left" vertical="center" wrapText="1"/>
    </xf>
    <xf numFmtId="0" fontId="14" fillId="0" borderId="4" xfId="0" applyFont="1" applyBorder="1" applyAlignment="1">
      <alignment vertical="center" wrapText="1"/>
    </xf>
    <xf numFmtId="0" fontId="14" fillId="0" borderId="4" xfId="0" applyFont="1" applyBorder="1" applyAlignment="1">
      <alignment horizontal="center"/>
    </xf>
    <xf numFmtId="2" fontId="10" fillId="0" borderId="4" xfId="0" applyNumberFormat="1" applyFont="1" applyBorder="1"/>
    <xf numFmtId="0" fontId="10" fillId="0" borderId="0" xfId="13" applyFont="1" applyAlignment="1">
      <alignment horizontal="left" vertical="center"/>
    </xf>
    <xf numFmtId="0" fontId="14" fillId="0" borderId="0" xfId="0" applyFont="1"/>
    <xf numFmtId="0" fontId="10" fillId="0" borderId="0" xfId="0" applyFont="1" applyAlignment="1">
      <alignment wrapText="1"/>
    </xf>
    <xf numFmtId="0" fontId="10" fillId="0" borderId="0" xfId="57" applyFont="1" applyAlignment="1">
      <alignment vertical="center"/>
    </xf>
    <xf numFmtId="0" fontId="10" fillId="0" borderId="0" xfId="57" applyFont="1" applyAlignment="1">
      <alignment vertical="center" wrapText="1"/>
    </xf>
    <xf numFmtId="0" fontId="10" fillId="0" borderId="4" xfId="0" applyFont="1" applyBorder="1" applyAlignment="1">
      <alignment horizontal="center" vertical="center" wrapText="1"/>
    </xf>
    <xf numFmtId="0" fontId="10" fillId="0" borderId="0" xfId="0" applyFont="1" applyAlignment="1">
      <alignment horizontal="left"/>
    </xf>
    <xf numFmtId="0" fontId="14" fillId="0" borderId="0" xfId="0" applyFont="1" applyAlignment="1">
      <alignment horizontal="right"/>
    </xf>
    <xf numFmtId="0" fontId="14" fillId="0" borderId="4" xfId="0" applyFont="1" applyBorder="1"/>
    <xf numFmtId="0" fontId="10" fillId="0" borderId="4" xfId="0" applyFont="1" applyBorder="1" applyAlignment="1">
      <alignment horizontal="left"/>
    </xf>
    <xf numFmtId="0" fontId="14" fillId="0" borderId="21" xfId="0" applyFont="1" applyBorder="1"/>
    <xf numFmtId="0" fontId="10" fillId="0" borderId="0" xfId="0" applyFont="1" applyAlignment="1">
      <alignment horizontal="center"/>
    </xf>
    <xf numFmtId="0" fontId="14" fillId="0" borderId="4" xfId="0" applyFont="1" applyBorder="1" applyAlignment="1">
      <alignment horizontal="left"/>
    </xf>
    <xf numFmtId="0" fontId="11" fillId="0" borderId="0" xfId="0" applyFont="1" applyAlignment="1">
      <alignment horizontal="center"/>
    </xf>
    <xf numFmtId="0" fontId="14" fillId="0" borderId="4" xfId="0" applyFont="1" applyBorder="1" applyAlignment="1">
      <alignment horizontal="center" vertical="center" wrapText="1"/>
    </xf>
    <xf numFmtId="0" fontId="13" fillId="0" borderId="0" xfId="0" applyFont="1" applyAlignment="1">
      <alignment horizontal="left"/>
    </xf>
    <xf numFmtId="0" fontId="10" fillId="0" borderId="4" xfId="0" applyFont="1" applyBorder="1" applyAlignment="1">
      <alignment horizontal="left" vertical="top" wrapText="1"/>
    </xf>
    <xf numFmtId="2" fontId="10" fillId="0" borderId="4" xfId="0" applyNumberFormat="1" applyFont="1" applyBorder="1" applyAlignment="1">
      <alignment wrapText="1"/>
    </xf>
    <xf numFmtId="0" fontId="14" fillId="0" borderId="0" xfId="13" applyFont="1" applyAlignment="1">
      <alignment horizontal="left" vertical="center"/>
    </xf>
    <xf numFmtId="0" fontId="14" fillId="4" borderId="0" xfId="0" applyFont="1" applyFill="1" applyAlignment="1">
      <alignment horizontal="right"/>
    </xf>
    <xf numFmtId="0" fontId="13" fillId="0" borderId="0" xfId="0" applyFont="1"/>
    <xf numFmtId="0" fontId="10" fillId="0" borderId="7" xfId="0" applyFont="1" applyBorder="1" applyAlignment="1">
      <alignment horizontal="left"/>
    </xf>
    <xf numFmtId="0" fontId="10" fillId="0" borderId="10" xfId="0" applyFont="1" applyBorder="1"/>
    <xf numFmtId="0" fontId="14" fillId="0" borderId="7" xfId="0" applyFont="1" applyBorder="1" applyAlignment="1">
      <alignment horizontal="left"/>
    </xf>
    <xf numFmtId="0" fontId="10" fillId="0" borderId="5" xfId="0" applyFont="1" applyBorder="1"/>
    <xf numFmtId="0" fontId="14" fillId="0" borderId="0" xfId="0" applyFont="1" applyAlignment="1">
      <alignment horizontal="justify" wrapText="1"/>
    </xf>
    <xf numFmtId="0" fontId="0" fillId="0" borderId="0" xfId="0" applyAlignment="1">
      <alignment vertical="top"/>
    </xf>
    <xf numFmtId="0" fontId="10" fillId="0" borderId="0" xfId="0" applyFont="1" applyAlignment="1">
      <alignment horizontal="justify" vertical="top" wrapText="1"/>
    </xf>
    <xf numFmtId="0" fontId="10" fillId="0" borderId="4" xfId="0" applyFont="1" applyBorder="1" applyAlignment="1">
      <alignment horizontal="left" vertical="top"/>
    </xf>
    <xf numFmtId="0" fontId="14" fillId="0" borderId="0" xfId="0" applyFont="1" applyAlignment="1">
      <alignment horizontal="left"/>
    </xf>
    <xf numFmtId="0" fontId="14" fillId="0" borderId="0" xfId="0" applyFont="1" applyAlignment="1">
      <alignment vertical="center"/>
    </xf>
    <xf numFmtId="0" fontId="14" fillId="0" borderId="4" xfId="0" applyFont="1" applyBorder="1" applyAlignment="1">
      <alignment horizontal="center" vertical="top" wrapText="1"/>
    </xf>
    <xf numFmtId="0" fontId="10" fillId="0" borderId="4" xfId="0" applyFont="1" applyBorder="1" applyAlignment="1">
      <alignment horizontal="center" vertical="top" wrapText="1"/>
    </xf>
    <xf numFmtId="0" fontId="10" fillId="0" borderId="0" xfId="0" applyFont="1" applyAlignment="1">
      <alignment horizontal="center" vertical="center"/>
    </xf>
    <xf numFmtId="0" fontId="12" fillId="0" borderId="0" xfId="0" applyFont="1" applyAlignment="1">
      <alignment horizontal="center"/>
    </xf>
    <xf numFmtId="0" fontId="10" fillId="0" borderId="4" xfId="0" applyFont="1" applyBorder="1" applyAlignment="1">
      <alignment vertical="center" wrapText="1"/>
    </xf>
    <xf numFmtId="0" fontId="14" fillId="4" borderId="0" xfId="0" applyFont="1" applyFill="1" applyAlignment="1">
      <alignment horizontal="center"/>
    </xf>
    <xf numFmtId="0" fontId="0" fillId="0" borderId="0" xfId="0" applyAlignment="1">
      <alignment horizontal="center"/>
    </xf>
    <xf numFmtId="0" fontId="17" fillId="0" borderId="4" xfId="0" applyFont="1" applyBorder="1" applyAlignment="1">
      <alignment vertical="center" wrapText="1"/>
    </xf>
    <xf numFmtId="0" fontId="10" fillId="0" borderId="4" xfId="0" applyFont="1" applyBorder="1" applyAlignment="1">
      <alignment horizontal="center" vertical="top"/>
    </xf>
    <xf numFmtId="0" fontId="12" fillId="0" borderId="4" xfId="0" applyFont="1" applyBorder="1"/>
    <xf numFmtId="0" fontId="20" fillId="0" borderId="0" xfId="0" applyFont="1"/>
    <xf numFmtId="0" fontId="10" fillId="0" borderId="0" xfId="13" applyFont="1" applyAlignment="1">
      <alignment horizontal="justify"/>
    </xf>
    <xf numFmtId="0" fontId="12" fillId="0" borderId="0" xfId="0" applyFont="1" applyAlignment="1">
      <alignment horizontal="justify"/>
    </xf>
    <xf numFmtId="0" fontId="0" fillId="0" borderId="0" xfId="0" applyAlignment="1">
      <alignment horizontal="justify"/>
    </xf>
    <xf numFmtId="0" fontId="10" fillId="0" borderId="4" xfId="0" applyFont="1" applyBorder="1" applyAlignment="1">
      <alignment horizontal="justify" vertical="center"/>
    </xf>
    <xf numFmtId="0" fontId="10" fillId="0" borderId="0" xfId="13" applyFont="1" applyAlignment="1">
      <alignment horizontal="justify" vertical="center" wrapText="1"/>
    </xf>
    <xf numFmtId="0" fontId="22" fillId="0" borderId="0" xfId="13" applyFont="1" applyAlignment="1">
      <alignment horizontal="left" vertical="center"/>
    </xf>
    <xf numFmtId="0" fontId="10" fillId="0" borderId="4" xfId="13" applyFont="1" applyBorder="1" applyAlignment="1">
      <alignment horizontal="center"/>
    </xf>
    <xf numFmtId="0" fontId="0" fillId="0" borderId="4" xfId="0" applyBorder="1" applyAlignment="1">
      <alignment vertical="center" wrapText="1"/>
    </xf>
    <xf numFmtId="0" fontId="10" fillId="0" borderId="4" xfId="0" applyFont="1" applyBorder="1" applyAlignment="1">
      <alignment horizontal="justify" vertical="justify" wrapText="1"/>
    </xf>
    <xf numFmtId="0" fontId="10" fillId="0" borderId="4" xfId="0" applyFont="1" applyBorder="1" applyAlignment="1">
      <alignment vertical="justify"/>
    </xf>
    <xf numFmtId="0" fontId="10" fillId="0" borderId="4" xfId="0" applyFont="1" applyBorder="1" applyAlignment="1">
      <alignment vertical="justify" wrapText="1"/>
    </xf>
    <xf numFmtId="0" fontId="14" fillId="0" borderId="0" xfId="13" applyFont="1" applyAlignment="1">
      <alignment horizontal="justify" vertical="center" wrapText="1"/>
    </xf>
    <xf numFmtId="0" fontId="10" fillId="0" borderId="0" xfId="0" applyFont="1" applyAlignment="1">
      <alignment horizontal="justify"/>
    </xf>
    <xf numFmtId="1" fontId="14" fillId="0" borderId="4" xfId="0" applyNumberFormat="1" applyFont="1" applyBorder="1"/>
    <xf numFmtId="0" fontId="10" fillId="0" borderId="0" xfId="0" applyFont="1" applyAlignment="1">
      <alignment horizontal="center" vertical="top" wrapText="1"/>
    </xf>
    <xf numFmtId="0" fontId="10" fillId="0" borderId="0" xfId="0" applyFont="1" applyAlignment="1">
      <alignment horizontal="left" vertical="top" wrapText="1"/>
    </xf>
    <xf numFmtId="0" fontId="14" fillId="0" borderId="4" xfId="0" quotePrefix="1" applyFont="1" applyBorder="1" applyAlignment="1">
      <alignment vertical="justify"/>
    </xf>
    <xf numFmtId="0" fontId="10" fillId="0" borderId="4" xfId="0" quotePrefix="1" applyFont="1" applyBorder="1" applyAlignment="1">
      <alignment horizontal="left" vertical="justify" wrapText="1"/>
    </xf>
    <xf numFmtId="0" fontId="14" fillId="0" borderId="7" xfId="0" quotePrefix="1" applyFont="1" applyBorder="1" applyAlignment="1">
      <alignment horizontal="left" vertical="justify" wrapText="1"/>
    </xf>
    <xf numFmtId="0" fontId="14" fillId="0" borderId="4" xfId="0" quotePrefix="1" applyFont="1" applyBorder="1" applyAlignment="1">
      <alignment horizontal="left" vertical="justify" wrapText="1"/>
    </xf>
    <xf numFmtId="0" fontId="10" fillId="0" borderId="0" xfId="0" applyFont="1" applyAlignment="1">
      <alignment vertical="justify"/>
    </xf>
    <xf numFmtId="0" fontId="14" fillId="0" borderId="4" xfId="0" applyFont="1" applyBorder="1" applyAlignment="1">
      <alignment vertical="justify" wrapText="1"/>
    </xf>
    <xf numFmtId="0" fontId="10" fillId="0" borderId="4" xfId="0" applyFont="1" applyBorder="1" applyAlignment="1">
      <alignment horizontal="center" vertical="justify"/>
    </xf>
    <xf numFmtId="0" fontId="10" fillId="0" borderId="4" xfId="0" applyFont="1" applyBorder="1" applyAlignment="1">
      <alignment horizontal="center" vertical="justify" wrapText="1"/>
    </xf>
    <xf numFmtId="0" fontId="10" fillId="0" borderId="4" xfId="0" applyFont="1" applyBorder="1" applyAlignment="1">
      <alignment horizontal="centerContinuous" vertical="justify" wrapText="1"/>
    </xf>
    <xf numFmtId="0" fontId="10" fillId="0" borderId="4" xfId="0" quotePrefix="1" applyFont="1" applyBorder="1" applyAlignment="1">
      <alignment vertical="justify" wrapText="1"/>
    </xf>
    <xf numFmtId="0" fontId="10" fillId="0" borderId="0" xfId="0" applyFont="1" applyAlignment="1">
      <alignment horizontal="center" vertical="justify" wrapText="1"/>
    </xf>
    <xf numFmtId="0" fontId="10" fillId="0" borderId="0" xfId="0" applyFont="1" applyAlignment="1">
      <alignment vertical="justify" wrapText="1"/>
    </xf>
    <xf numFmtId="0" fontId="14" fillId="0" borderId="4" xfId="0" applyFont="1" applyBorder="1" applyAlignment="1">
      <alignment horizontal="center" vertical="justify"/>
    </xf>
    <xf numFmtId="0" fontId="10" fillId="0" borderId="7" xfId="0" applyFont="1" applyBorder="1" applyAlignment="1">
      <alignment vertical="justify"/>
    </xf>
    <xf numFmtId="0" fontId="10" fillId="0" borderId="0" xfId="74" applyFont="1" applyFill="1"/>
    <xf numFmtId="0" fontId="10" fillId="0" borderId="4" xfId="74" applyFont="1" applyFill="1" applyBorder="1" applyAlignment="1">
      <alignment horizontal="center"/>
    </xf>
    <xf numFmtId="0" fontId="14" fillId="0" borderId="0" xfId="0" applyFont="1" applyAlignment="1">
      <alignment vertical="top"/>
    </xf>
    <xf numFmtId="0" fontId="14" fillId="0" borderId="0" xfId="74" applyFont="1" applyFill="1" applyAlignment="1">
      <alignment horizontal="left"/>
    </xf>
    <xf numFmtId="0" fontId="10" fillId="0" borderId="4" xfId="0" applyFont="1" applyBorder="1" applyAlignment="1">
      <alignment horizontal="right" vertical="center"/>
    </xf>
    <xf numFmtId="10" fontId="10" fillId="0" borderId="4" xfId="14" applyNumberFormat="1" applyFont="1" applyBorder="1" applyAlignment="1">
      <alignment vertical="center"/>
    </xf>
    <xf numFmtId="10" fontId="10" fillId="0" borderId="4" xfId="14" applyNumberFormat="1" applyFont="1" applyBorder="1" applyAlignment="1">
      <alignment vertical="justify"/>
    </xf>
    <xf numFmtId="0" fontId="0" fillId="0" borderId="4" xfId="0" applyBorder="1" applyAlignment="1">
      <alignment vertical="top"/>
    </xf>
    <xf numFmtId="0" fontId="10" fillId="0" borderId="4" xfId="0" applyFont="1" applyBorder="1" applyAlignment="1">
      <alignment horizontal="left" vertical="justify" wrapText="1"/>
    </xf>
    <xf numFmtId="0" fontId="0" fillId="0" borderId="4" xfId="0" applyBorder="1" applyAlignment="1">
      <alignment vertical="justify" wrapText="1"/>
    </xf>
    <xf numFmtId="0" fontId="0" fillId="0" borderId="4" xfId="0" applyBorder="1" applyAlignment="1">
      <alignment horizontal="center" vertical="center"/>
    </xf>
    <xf numFmtId="168" fontId="15" fillId="0" borderId="4" xfId="73" applyNumberFormat="1" applyFont="1" applyBorder="1"/>
    <xf numFmtId="168" fontId="15" fillId="0" borderId="4" xfId="73" applyNumberFormat="1" applyFont="1" applyBorder="1" applyAlignment="1">
      <alignment horizontal="right" vertical="center"/>
    </xf>
    <xf numFmtId="168" fontId="14" fillId="0" borderId="21" xfId="73" applyNumberFormat="1" applyFont="1" applyBorder="1" applyAlignment="1">
      <alignment horizontal="right"/>
    </xf>
    <xf numFmtId="0" fontId="14" fillId="4" borderId="0" xfId="0" applyFont="1" applyFill="1"/>
    <xf numFmtId="171" fontId="10" fillId="0" borderId="0" xfId="0" applyNumberFormat="1" applyFont="1"/>
    <xf numFmtId="0" fontId="14" fillId="0" borderId="0" xfId="0" applyFont="1" applyAlignment="1">
      <alignment horizontal="center" vertical="center" wrapText="1"/>
    </xf>
    <xf numFmtId="171" fontId="14" fillId="0" borderId="0" xfId="0" applyNumberFormat="1" applyFont="1" applyAlignment="1">
      <alignment horizontal="center" vertical="center" wrapText="1"/>
    </xf>
    <xf numFmtId="170" fontId="14" fillId="0" borderId="0" xfId="0" applyNumberFormat="1" applyFont="1" applyAlignment="1">
      <alignment horizontal="center" vertical="center" wrapText="1"/>
    </xf>
    <xf numFmtId="170" fontId="10" fillId="0" borderId="0" xfId="0" applyNumberFormat="1" applyFont="1"/>
    <xf numFmtId="0" fontId="10" fillId="0" borderId="4" xfId="0" applyFont="1" applyBorder="1" applyAlignment="1">
      <alignment horizontal="justify" vertical="justify"/>
    </xf>
    <xf numFmtId="0" fontId="12" fillId="0" borderId="4" xfId="0" applyFont="1" applyBorder="1" applyAlignment="1">
      <alignment vertical="center"/>
    </xf>
    <xf numFmtId="2" fontId="14" fillId="0" borderId="0" xfId="13" applyNumberFormat="1" applyFont="1" applyAlignment="1">
      <alignment horizontal="center" vertical="center"/>
    </xf>
    <xf numFmtId="0" fontId="10" fillId="0" borderId="0" xfId="13" applyFont="1" applyAlignment="1">
      <alignment horizontal="left" vertical="justify"/>
    </xf>
    <xf numFmtId="0" fontId="10" fillId="0" borderId="0" xfId="13" applyFont="1" applyAlignment="1">
      <alignment horizontal="justify" vertical="justify" wrapText="1"/>
    </xf>
    <xf numFmtId="0" fontId="14" fillId="0" borderId="4" xfId="0" applyFont="1" applyBorder="1" applyAlignment="1">
      <alignment vertical="justify"/>
    </xf>
    <xf numFmtId="0" fontId="0" fillId="0" borderId="4" xfId="0" applyBorder="1" applyAlignment="1">
      <alignment horizontal="center" vertical="center" wrapText="1"/>
    </xf>
    <xf numFmtId="0" fontId="14" fillId="0" borderId="0" xfId="75" applyFont="1" applyAlignment="1">
      <alignment horizontal="left"/>
    </xf>
    <xf numFmtId="0" fontId="10" fillId="0" borderId="0" xfId="75" applyFont="1" applyAlignment="1">
      <alignment horizontal="left"/>
    </xf>
    <xf numFmtId="0" fontId="14" fillId="0" borderId="4" xfId="74" applyFont="1" applyFill="1" applyBorder="1" applyAlignment="1">
      <alignment horizontal="justify" vertical="justify" wrapText="1"/>
    </xf>
    <xf numFmtId="0" fontId="10" fillId="0" borderId="4" xfId="74" applyFont="1" applyFill="1" applyBorder="1" applyAlignment="1">
      <alignment horizontal="justify" vertical="justify" wrapText="1"/>
    </xf>
    <xf numFmtId="0" fontId="10" fillId="0" borderId="0" xfId="74" applyFont="1" applyFill="1" applyAlignment="1">
      <alignment horizontal="justify" vertical="justify"/>
    </xf>
    <xf numFmtId="0" fontId="10" fillId="0" borderId="0" xfId="74" applyFont="1" applyFill="1" applyAlignment="1">
      <alignment horizontal="justify"/>
    </xf>
    <xf numFmtId="0" fontId="10" fillId="0" borderId="0" xfId="0" applyFont="1" applyAlignment="1">
      <alignment horizontal="justify" vertical="justify" wrapText="1"/>
    </xf>
    <xf numFmtId="0" fontId="14" fillId="0" borderId="7" xfId="0" applyFont="1" applyBorder="1" applyAlignment="1">
      <alignment horizontal="justify" vertical="justify"/>
    </xf>
    <xf numFmtId="0" fontId="10" fillId="0" borderId="0" xfId="0" applyFont="1" applyAlignment="1">
      <alignment horizontal="justify" vertical="justify"/>
    </xf>
    <xf numFmtId="0" fontId="0" fillId="0" borderId="4" xfId="0" applyBorder="1" applyAlignment="1">
      <alignment horizontal="justify" vertical="center"/>
    </xf>
    <xf numFmtId="0" fontId="14" fillId="0" borderId="0" xfId="0" applyFont="1" applyAlignment="1">
      <alignment horizontal="left" wrapText="1"/>
    </xf>
    <xf numFmtId="0" fontId="10" fillId="0" borderId="4" xfId="0" quotePrefix="1" applyFont="1" applyBorder="1" applyAlignment="1">
      <alignment horizontal="center" vertical="top"/>
    </xf>
    <xf numFmtId="1" fontId="10" fillId="0" borderId="0" xfId="0" applyNumberFormat="1" applyFont="1"/>
    <xf numFmtId="0" fontId="10" fillId="0" borderId="4" xfId="18" applyFont="1" applyBorder="1" applyAlignment="1">
      <alignment wrapText="1"/>
    </xf>
    <xf numFmtId="164" fontId="14" fillId="0" borderId="4" xfId="73" applyFont="1" applyBorder="1"/>
    <xf numFmtId="164" fontId="14" fillId="0" borderId="4" xfId="0" applyNumberFormat="1" applyFont="1" applyBorder="1" applyAlignment="1">
      <alignment horizontal="center" wrapText="1"/>
    </xf>
    <xf numFmtId="0" fontId="10" fillId="0" borderId="5" xfId="0" applyFont="1" applyBorder="1" applyAlignment="1">
      <alignment horizontal="center"/>
    </xf>
    <xf numFmtId="0" fontId="10" fillId="0" borderId="15" xfId="0" applyFont="1" applyBorder="1" applyAlignment="1">
      <alignment horizontal="left"/>
    </xf>
    <xf numFmtId="0" fontId="10" fillId="0" borderId="12" xfId="0" applyFont="1" applyBorder="1"/>
    <xf numFmtId="1" fontId="10" fillId="0" borderId="4" xfId="0" applyNumberFormat="1" applyFont="1" applyBorder="1"/>
    <xf numFmtId="10" fontId="10" fillId="0" borderId="0" xfId="59" applyNumberFormat="1" applyFont="1"/>
    <xf numFmtId="0" fontId="10" fillId="0" borderId="5" xfId="0" applyFont="1" applyBorder="1" applyAlignment="1">
      <alignment horizontal="left"/>
    </xf>
    <xf numFmtId="0" fontId="10" fillId="0" borderId="4" xfId="75" applyFont="1" applyBorder="1" applyAlignment="1">
      <alignment horizontal="center" wrapText="1"/>
    </xf>
    <xf numFmtId="0" fontId="10" fillId="0" borderId="4" xfId="75" applyFont="1" applyBorder="1" applyAlignment="1">
      <alignment horizontal="left" wrapText="1"/>
    </xf>
    <xf numFmtId="0" fontId="10" fillId="0" borderId="4" xfId="13" applyFont="1" applyBorder="1" applyAlignment="1">
      <alignment horizontal="left" wrapText="1"/>
    </xf>
    <xf numFmtId="0" fontId="11" fillId="0" borderId="4" xfId="0" applyFont="1" applyBorder="1"/>
    <xf numFmtId="168" fontId="26" fillId="0" borderId="4" xfId="73" applyNumberFormat="1" applyFont="1" applyBorder="1"/>
    <xf numFmtId="0" fontId="14" fillId="0" borderId="0" xfId="0" applyFont="1" applyAlignment="1">
      <alignment vertical="center" wrapText="1"/>
    </xf>
    <xf numFmtId="0" fontId="14" fillId="8" borderId="4" xfId="0" applyFont="1" applyFill="1" applyBorder="1" applyAlignment="1">
      <alignment horizontal="center" vertical="center" wrapText="1"/>
    </xf>
    <xf numFmtId="0" fontId="14" fillId="8" borderId="4" xfId="18" applyFont="1" applyFill="1" applyBorder="1" applyAlignment="1">
      <alignment horizontal="center"/>
    </xf>
    <xf numFmtId="0" fontId="14" fillId="8" borderId="4" xfId="18" applyFont="1" applyFill="1" applyBorder="1" applyAlignment="1">
      <alignment horizontal="center" wrapText="1"/>
    </xf>
    <xf numFmtId="0" fontId="14" fillId="0" borderId="0" xfId="13" applyFont="1" applyAlignment="1">
      <alignment vertical="center"/>
    </xf>
    <xf numFmtId="0" fontId="14" fillId="4" borderId="0" xfId="18" applyFont="1" applyFill="1"/>
    <xf numFmtId="0" fontId="14" fillId="8" borderId="4" xfId="18" applyFont="1" applyFill="1" applyBorder="1" applyAlignment="1">
      <alignment horizontal="center" vertical="center" wrapText="1"/>
    </xf>
    <xf numFmtId="0" fontId="14" fillId="8" borderId="4" xfId="18" applyFont="1" applyFill="1" applyBorder="1" applyAlignment="1">
      <alignment horizontal="center" vertical="center"/>
    </xf>
    <xf numFmtId="0" fontId="11" fillId="0" borderId="0" xfId="0" applyFont="1" applyAlignment="1">
      <alignment vertical="center"/>
    </xf>
    <xf numFmtId="0" fontId="14" fillId="8" borderId="12"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8" borderId="4" xfId="0" applyFont="1" applyFill="1" applyBorder="1" applyAlignment="1">
      <alignment horizontal="center" vertical="top" wrapText="1"/>
    </xf>
    <xf numFmtId="0" fontId="14" fillId="8" borderId="4" xfId="0" applyFont="1" applyFill="1" applyBorder="1" applyAlignment="1">
      <alignment vertical="center" wrapText="1"/>
    </xf>
    <xf numFmtId="0" fontId="13" fillId="4" borderId="0" xfId="0" applyFont="1" applyFill="1" applyAlignment="1">
      <alignment vertical="top"/>
    </xf>
    <xf numFmtId="0" fontId="13" fillId="0" borderId="0" xfId="18" applyFont="1"/>
    <xf numFmtId="164" fontId="14" fillId="0" borderId="4" xfId="73" applyFont="1" applyBorder="1" applyAlignment="1">
      <alignment horizontal="center"/>
    </xf>
    <xf numFmtId="164" fontId="10" fillId="0" borderId="4" xfId="0" applyNumberFormat="1" applyFont="1" applyBorder="1"/>
    <xf numFmtId="164" fontId="14" fillId="0" borderId="4" xfId="0" applyNumberFormat="1" applyFont="1" applyBorder="1"/>
    <xf numFmtId="0" fontId="14" fillId="0" borderId="5" xfId="0" applyFont="1" applyBorder="1" applyAlignment="1">
      <alignment horizontal="center"/>
    </xf>
    <xf numFmtId="0" fontId="10" fillId="0" borderId="10" xfId="0" applyFont="1" applyBorder="1" applyAlignment="1">
      <alignment horizontal="left"/>
    </xf>
    <xf numFmtId="0" fontId="0" fillId="0" borderId="0" xfId="0" applyAlignment="1">
      <alignment vertical="center" wrapText="1"/>
    </xf>
    <xf numFmtId="0" fontId="14" fillId="8" borderId="4" xfId="13" applyFont="1" applyFill="1" applyBorder="1" applyAlignment="1">
      <alignment horizontal="center" vertical="center" wrapText="1"/>
    </xf>
    <xf numFmtId="0" fontId="14" fillId="8" borderId="7" xfId="0" applyFont="1" applyFill="1" applyBorder="1" applyAlignment="1">
      <alignment vertical="center" wrapText="1"/>
    </xf>
    <xf numFmtId="0" fontId="14" fillId="8" borderId="15" xfId="0" applyFont="1" applyFill="1" applyBorder="1" applyAlignment="1">
      <alignment horizontal="center" vertical="center" wrapText="1"/>
    </xf>
    <xf numFmtId="0" fontId="10" fillId="0" borderId="11" xfId="0" applyFont="1" applyBorder="1" applyAlignment="1">
      <alignment horizontal="center"/>
    </xf>
    <xf numFmtId="0" fontId="24" fillId="0" borderId="0" xfId="0" applyFont="1"/>
    <xf numFmtId="0" fontId="0" fillId="0" borderId="11" xfId="0" applyBorder="1" applyAlignment="1">
      <alignment horizontal="center"/>
    </xf>
    <xf numFmtId="0" fontId="14" fillId="4" borderId="0" xfId="18" applyFont="1" applyFill="1" applyAlignment="1">
      <alignment horizontal="center"/>
    </xf>
    <xf numFmtId="0" fontId="13" fillId="4" borderId="0" xfId="0" applyFont="1" applyFill="1"/>
    <xf numFmtId="0" fontId="23" fillId="0" borderId="0" xfId="0" applyFont="1"/>
    <xf numFmtId="0" fontId="14" fillId="0" borderId="4" xfId="0" applyFont="1" applyBorder="1" applyAlignment="1">
      <alignment horizontal="center" vertical="top"/>
    </xf>
    <xf numFmtId="0" fontId="21" fillId="0" borderId="0" xfId="0" applyFont="1"/>
    <xf numFmtId="164" fontId="14" fillId="0" borderId="4" xfId="73" applyFont="1" applyFill="1" applyBorder="1" applyAlignment="1">
      <alignment horizontal="center"/>
    </xf>
    <xf numFmtId="0" fontId="14" fillId="8" borderId="4" xfId="0" applyFont="1" applyFill="1" applyBorder="1" applyAlignment="1">
      <alignment horizontal="center" vertical="center"/>
    </xf>
    <xf numFmtId="0" fontId="13" fillId="0" borderId="0" xfId="0" applyFont="1" applyAlignment="1">
      <alignment horizontal="left" vertical="center"/>
    </xf>
    <xf numFmtId="0" fontId="10" fillId="0" borderId="11" xfId="13" applyFont="1" applyBorder="1" applyAlignment="1">
      <alignment horizontal="center"/>
    </xf>
    <xf numFmtId="0" fontId="14" fillId="0" borderId="4" xfId="0" applyFont="1" applyBorder="1" applyAlignment="1">
      <alignment wrapText="1"/>
    </xf>
    <xf numFmtId="0" fontId="11" fillId="8" borderId="4" xfId="0" applyFont="1" applyFill="1" applyBorder="1" applyAlignment="1">
      <alignment horizontal="center" vertical="center" wrapText="1"/>
    </xf>
    <xf numFmtId="0" fontId="0" fillId="0" borderId="0" xfId="0" applyAlignment="1">
      <alignment horizontal="justify" vertical="top" wrapText="1"/>
    </xf>
    <xf numFmtId="0" fontId="0" fillId="0" borderId="0" xfId="0" applyAlignment="1">
      <alignment horizontal="justify" wrapText="1"/>
    </xf>
    <xf numFmtId="49" fontId="14" fillId="0" borderId="4" xfId="0" applyNumberFormat="1" applyFont="1" applyBorder="1" applyAlignment="1">
      <alignment horizontal="center"/>
    </xf>
    <xf numFmtId="49" fontId="10" fillId="0" borderId="4" xfId="0" applyNumberFormat="1" applyFont="1" applyBorder="1" applyAlignment="1">
      <alignment horizontal="center"/>
    </xf>
    <xf numFmtId="1" fontId="10" fillId="0" borderId="4" xfId="0" applyNumberFormat="1" applyFont="1" applyBorder="1" applyAlignment="1">
      <alignment wrapText="1"/>
    </xf>
    <xf numFmtId="49" fontId="10" fillId="0" borderId="0" xfId="0" applyNumberFormat="1" applyFont="1" applyAlignment="1">
      <alignment horizontal="center"/>
    </xf>
    <xf numFmtId="49" fontId="10" fillId="0" borderId="4" xfId="0" quotePrefix="1" applyNumberFormat="1" applyFont="1" applyBorder="1" applyAlignment="1">
      <alignment horizontal="center"/>
    </xf>
    <xf numFmtId="1" fontId="10" fillId="0" borderId="4" xfId="0" quotePrefix="1" applyNumberFormat="1" applyFont="1" applyBorder="1" applyAlignment="1">
      <alignment horizontal="left"/>
    </xf>
    <xf numFmtId="1" fontId="14" fillId="0" borderId="4" xfId="0" quotePrefix="1" applyNumberFormat="1" applyFont="1" applyBorder="1" applyAlignment="1">
      <alignment horizontal="left"/>
    </xf>
    <xf numFmtId="1" fontId="10" fillId="0" borderId="4" xfId="0" applyNumberFormat="1" applyFont="1" applyBorder="1" applyAlignment="1">
      <alignment vertical="top" wrapText="1"/>
    </xf>
    <xf numFmtId="1" fontId="10" fillId="0" borderId="4" xfId="0" applyNumberFormat="1" applyFont="1" applyBorder="1" applyAlignment="1">
      <alignment horizontal="left"/>
    </xf>
    <xf numFmtId="0" fontId="14" fillId="0" borderId="4" xfId="0" applyFont="1" applyBorder="1" applyAlignment="1">
      <alignment horizontal="justify" wrapText="1"/>
    </xf>
    <xf numFmtId="0" fontId="14" fillId="8" borderId="15" xfId="18" applyFont="1" applyFill="1" applyBorder="1" applyAlignment="1">
      <alignment horizontal="center"/>
    </xf>
    <xf numFmtId="0" fontId="0" fillId="0" borderId="4" xfId="0" applyBorder="1" applyAlignment="1">
      <alignment vertical="center"/>
    </xf>
    <xf numFmtId="0" fontId="0" fillId="0" borderId="4" xfId="0" applyBorder="1" applyAlignment="1">
      <alignment horizontal="left" vertical="center" wrapText="1"/>
    </xf>
    <xf numFmtId="0" fontId="0" fillId="0" borderId="7" xfId="0" applyBorder="1"/>
    <xf numFmtId="0" fontId="10" fillId="0" borderId="4" xfId="67" applyFont="1" applyBorder="1" applyAlignment="1">
      <alignment horizontal="center" vertical="center" wrapText="1"/>
    </xf>
    <xf numFmtId="0" fontId="10" fillId="0" borderId="4" xfId="67" applyFont="1" applyBorder="1" applyAlignment="1">
      <alignment vertical="center" wrapText="1"/>
    </xf>
    <xf numFmtId="0" fontId="10" fillId="0" borderId="4" xfId="67" applyFont="1" applyBorder="1" applyAlignment="1">
      <alignment vertical="top" wrapText="1"/>
    </xf>
    <xf numFmtId="0" fontId="10" fillId="0" borderId="4" xfId="67" applyFont="1" applyBorder="1" applyAlignment="1">
      <alignment horizontal="left" vertical="center" wrapText="1"/>
    </xf>
    <xf numFmtId="0" fontId="10" fillId="0" borderId="6" xfId="67" applyFont="1" applyBorder="1" applyAlignment="1">
      <alignment horizontal="center" vertical="center" wrapText="1"/>
    </xf>
    <xf numFmtId="0" fontId="10" fillId="0" borderId="12" xfId="67" applyFont="1" applyBorder="1" applyAlignment="1">
      <alignment vertical="center" wrapText="1"/>
    </xf>
    <xf numFmtId="0" fontId="10" fillId="0" borderId="4" xfId="67" applyFont="1" applyBorder="1" applyAlignment="1">
      <alignment horizontal="center" vertical="top" wrapText="1"/>
    </xf>
    <xf numFmtId="0" fontId="14" fillId="0" borderId="0" xfId="18" applyFont="1"/>
    <xf numFmtId="0" fontId="10" fillId="0" borderId="4" xfId="13" applyFont="1" applyBorder="1" applyAlignment="1">
      <alignment horizontal="justify" wrapText="1"/>
    </xf>
    <xf numFmtId="0" fontId="14" fillId="8" borderId="4" xfId="0" applyFont="1" applyFill="1" applyBorder="1"/>
    <xf numFmtId="0" fontId="14" fillId="0" borderId="4" xfId="0" applyFont="1" applyBorder="1" applyAlignment="1">
      <alignment horizontal="justify" vertical="justify"/>
    </xf>
    <xf numFmtId="0" fontId="10" fillId="0" borderId="0" xfId="13" applyFont="1" applyAlignment="1">
      <alignment horizontal="center"/>
    </xf>
    <xf numFmtId="0" fontId="0" fillId="0" borderId="23" xfId="0" applyBorder="1" applyAlignment="1">
      <alignment vertical="center"/>
    </xf>
    <xf numFmtId="0" fontId="0" fillId="0" borderId="23" xfId="0" applyBorder="1" applyAlignment="1">
      <alignment vertical="center" wrapText="1"/>
    </xf>
    <xf numFmtId="0" fontId="0" fillId="0" borderId="0" xfId="0" applyAlignment="1">
      <alignment vertical="center"/>
    </xf>
    <xf numFmtId="0" fontId="11" fillId="8" borderId="4" xfId="0" applyFont="1" applyFill="1" applyBorder="1" applyAlignment="1">
      <alignment horizontal="center" vertical="center"/>
    </xf>
    <xf numFmtId="0" fontId="23" fillId="8" borderId="0" xfId="0" applyFont="1" applyFill="1"/>
    <xf numFmtId="0" fontId="11" fillId="0" borderId="4" xfId="0" applyFont="1" applyBorder="1" applyAlignment="1">
      <alignment horizontal="left" vertical="center" wrapText="1"/>
    </xf>
    <xf numFmtId="0" fontId="11" fillId="0" borderId="4" xfId="0" applyFont="1" applyBorder="1" applyAlignment="1">
      <alignment vertical="center" wrapText="1"/>
    </xf>
    <xf numFmtId="0" fontId="0" fillId="0" borderId="0" xfId="0" applyAlignment="1">
      <alignment horizontal="center" vertical="center"/>
    </xf>
    <xf numFmtId="0" fontId="14" fillId="0" borderId="0" xfId="18" applyFont="1" applyAlignment="1">
      <alignment horizontal="left"/>
    </xf>
    <xf numFmtId="0" fontId="11" fillId="8" borderId="6" xfId="0" applyFont="1" applyFill="1" applyBorder="1" applyAlignment="1">
      <alignment vertical="center" wrapText="1"/>
    </xf>
    <xf numFmtId="0" fontId="10" fillId="8" borderId="4" xfId="0" applyFont="1" applyFill="1" applyBorder="1"/>
    <xf numFmtId="0" fontId="14" fillId="11" borderId="0" xfId="76" applyFont="1" applyFill="1" applyAlignment="1">
      <alignment horizontal="left" vertical="center"/>
    </xf>
    <xf numFmtId="0" fontId="10" fillId="0" borderId="0" xfId="106" applyFont="1">
      <alignment vertical="center"/>
    </xf>
    <xf numFmtId="0" fontId="10" fillId="0" borderId="0" xfId="76" applyFont="1" applyAlignment="1">
      <alignment vertical="center"/>
    </xf>
    <xf numFmtId="0" fontId="14" fillId="0" borderId="0" xfId="107" applyFont="1">
      <alignment vertical="center"/>
    </xf>
    <xf numFmtId="0" fontId="14" fillId="0" borderId="0" xfId="91" applyFont="1" applyAlignment="1">
      <alignment horizontal="center" vertical="center"/>
    </xf>
    <xf numFmtId="0" fontId="10" fillId="0" borderId="0" xfId="91" applyFont="1" applyAlignment="1">
      <alignment vertical="center"/>
    </xf>
    <xf numFmtId="0" fontId="14" fillId="12" borderId="4" xfId="91" applyFont="1" applyFill="1" applyBorder="1" applyAlignment="1">
      <alignment horizontal="center" vertical="center"/>
    </xf>
    <xf numFmtId="0" fontId="14" fillId="12" borderId="4" xfId="91" applyFont="1" applyFill="1" applyBorder="1" applyAlignment="1">
      <alignment horizontal="center" vertical="center" wrapText="1"/>
    </xf>
    <xf numFmtId="0" fontId="14" fillId="12" borderId="4" xfId="107" applyFont="1" applyFill="1" applyBorder="1" applyAlignment="1">
      <alignment horizontal="center" vertical="center" wrapText="1"/>
    </xf>
    <xf numFmtId="0" fontId="10" fillId="0" borderId="4" xfId="91" applyFont="1" applyBorder="1" applyAlignment="1">
      <alignment horizontal="center" vertical="center"/>
    </xf>
    <xf numFmtId="0" fontId="10" fillId="0" borderId="4" xfId="91" applyFont="1" applyBorder="1" applyAlignment="1">
      <alignment horizontal="left" vertical="center"/>
    </xf>
    <xf numFmtId="0" fontId="14" fillId="0" borderId="0" xfId="91" applyFont="1" applyAlignment="1">
      <alignment vertical="center"/>
    </xf>
    <xf numFmtId="0" fontId="10" fillId="0" borderId="4" xfId="91" applyFont="1" applyBorder="1" applyAlignment="1">
      <alignment horizontal="center" vertical="center" wrapText="1"/>
    </xf>
    <xf numFmtId="0" fontId="13" fillId="4" borderId="0" xfId="18" applyFont="1" applyFill="1" applyAlignment="1">
      <alignment horizontal="left"/>
    </xf>
    <xf numFmtId="0" fontId="10" fillId="0" borderId="11" xfId="18" applyFont="1" applyBorder="1" applyAlignment="1">
      <alignment horizontal="center"/>
    </xf>
    <xf numFmtId="0" fontId="10" fillId="5" borderId="0" xfId="91" applyFont="1" applyFill="1" applyAlignment="1">
      <alignment vertical="center"/>
    </xf>
    <xf numFmtId="0" fontId="10" fillId="5" borderId="0" xfId="91" applyFont="1" applyFill="1" applyAlignment="1">
      <alignment horizontal="center" vertical="center"/>
    </xf>
    <xf numFmtId="0" fontId="10" fillId="5" borderId="0" xfId="91" applyFont="1" applyFill="1" applyAlignment="1">
      <alignment horizontal="left" vertical="center"/>
    </xf>
    <xf numFmtId="0" fontId="10" fillId="5" borderId="0" xfId="91" applyFont="1" applyFill="1" applyAlignment="1">
      <alignment horizontal="left" vertical="center" wrapText="1"/>
    </xf>
    <xf numFmtId="0" fontId="13" fillId="0" borderId="0" xfId="0" applyFont="1" applyAlignment="1">
      <alignment vertical="center"/>
    </xf>
    <xf numFmtId="0" fontId="10" fillId="0" borderId="0" xfId="109" applyFont="1" applyAlignment="1">
      <alignment horizontal="centerContinuous" vertical="center"/>
    </xf>
    <xf numFmtId="0" fontId="10" fillId="0" borderId="0" xfId="109" applyFont="1">
      <alignment vertical="center"/>
    </xf>
    <xf numFmtId="0" fontId="10" fillId="0" borderId="0" xfId="108" applyFont="1" applyAlignment="1">
      <alignment horizontal="centerContinuous" vertical="center"/>
    </xf>
    <xf numFmtId="0" fontId="10" fillId="0" borderId="0" xfId="108" applyFont="1" applyAlignment="1">
      <alignment vertical="center"/>
    </xf>
    <xf numFmtId="0" fontId="14" fillId="0" borderId="0" xfId="109" applyFont="1" applyAlignment="1">
      <alignment horizontal="left" vertical="center"/>
    </xf>
    <xf numFmtId="0" fontId="10" fillId="5" borderId="0" xfId="108" applyFont="1" applyFill="1" applyAlignment="1">
      <alignment horizontal="centerContinuous" vertical="center"/>
    </xf>
    <xf numFmtId="0" fontId="10" fillId="0" borderId="0" xfId="108" applyFont="1" applyAlignment="1">
      <alignment horizontal="center" vertical="center"/>
    </xf>
    <xf numFmtId="0" fontId="14" fillId="0" borderId="0" xfId="108" applyFont="1" applyAlignment="1">
      <alignment horizontal="centerContinuous" vertical="center"/>
    </xf>
    <xf numFmtId="0" fontId="14" fillId="0" borderId="0" xfId="109" applyFont="1" applyAlignment="1">
      <alignment horizontal="right" vertical="center"/>
    </xf>
    <xf numFmtId="0" fontId="14" fillId="5" borderId="0" xfId="109" applyFont="1" applyFill="1" applyAlignment="1">
      <alignment horizontal="center" vertical="center" wrapText="1"/>
    </xf>
    <xf numFmtId="0" fontId="10" fillId="5" borderId="0" xfId="109" applyFont="1" applyFill="1">
      <alignment vertical="center"/>
    </xf>
    <xf numFmtId="0" fontId="10" fillId="0" borderId="4" xfId="109" applyFont="1" applyBorder="1" applyAlignment="1">
      <alignment horizontal="center" vertical="center"/>
    </xf>
    <xf numFmtId="0" fontId="10" fillId="11" borderId="4" xfId="108" applyFont="1" applyFill="1" applyBorder="1" applyAlignment="1">
      <alignment horizontal="left" vertical="center"/>
    </xf>
    <xf numFmtId="0" fontId="10" fillId="0" borderId="4" xfId="109" applyFont="1" applyBorder="1">
      <alignment vertical="center"/>
    </xf>
    <xf numFmtId="0" fontId="12" fillId="5" borderId="4" xfId="110" applyFont="1" applyFill="1" applyBorder="1" applyAlignment="1">
      <alignment vertical="center"/>
    </xf>
    <xf numFmtId="0" fontId="14" fillId="11" borderId="4" xfId="108" applyFont="1" applyFill="1" applyBorder="1" applyAlignment="1">
      <alignment horizontal="left" vertical="center"/>
    </xf>
    <xf numFmtId="0" fontId="14" fillId="0" borderId="4" xfId="109" applyFont="1" applyBorder="1">
      <alignment vertical="center"/>
    </xf>
    <xf numFmtId="0" fontId="10" fillId="0" borderId="0" xfId="109" applyFont="1" applyAlignment="1">
      <alignment horizontal="center" vertical="center"/>
    </xf>
    <xf numFmtId="0" fontId="14" fillId="0" borderId="4" xfId="109" applyFont="1" applyBorder="1" applyAlignment="1">
      <alignment horizontal="center" vertical="center"/>
    </xf>
    <xf numFmtId="0" fontId="10" fillId="11" borderId="4" xfId="108" applyFont="1" applyFill="1" applyBorder="1" applyAlignment="1">
      <alignment horizontal="center" vertical="center"/>
    </xf>
    <xf numFmtId="0" fontId="10" fillId="5" borderId="4" xfId="108" applyFont="1" applyFill="1" applyBorder="1" applyAlignment="1">
      <alignment horizontal="center" vertical="center"/>
    </xf>
    <xf numFmtId="0" fontId="10" fillId="5" borderId="6" xfId="109" applyFont="1" applyFill="1" applyBorder="1">
      <alignment vertical="center"/>
    </xf>
    <xf numFmtId="0" fontId="10" fillId="0" borderId="4" xfId="108" applyFont="1" applyBorder="1" applyAlignment="1">
      <alignment vertical="center"/>
    </xf>
    <xf numFmtId="0" fontId="10" fillId="0" borderId="4" xfId="108" applyFont="1" applyBorder="1" applyAlignment="1">
      <alignment horizontal="center" vertical="center"/>
    </xf>
    <xf numFmtId="0" fontId="10" fillId="11" borderId="4" xfId="108" quotePrefix="1" applyFont="1" applyFill="1" applyBorder="1" applyAlignment="1">
      <alignment horizontal="left" vertical="center" wrapText="1"/>
    </xf>
    <xf numFmtId="0" fontId="10" fillId="11" borderId="4" xfId="108" quotePrefix="1" applyFont="1" applyFill="1" applyBorder="1" applyAlignment="1">
      <alignment horizontal="center" vertical="center" wrapText="1"/>
    </xf>
    <xf numFmtId="0" fontId="10" fillId="11" borderId="0" xfId="108" quotePrefix="1" applyFont="1" applyFill="1" applyAlignment="1">
      <alignment horizontal="left" vertical="center" wrapText="1"/>
    </xf>
    <xf numFmtId="0" fontId="14" fillId="8" borderId="4" xfId="109" applyFont="1" applyFill="1" applyBorder="1" applyAlignment="1">
      <alignment horizontal="center" vertical="center"/>
    </xf>
    <xf numFmtId="0" fontId="14" fillId="8" borderId="4" xfId="109" applyFont="1" applyFill="1" applyBorder="1" applyAlignment="1">
      <alignment horizontal="center" vertical="center" wrapText="1"/>
    </xf>
    <xf numFmtId="0" fontId="14" fillId="8" borderId="7" xfId="109" applyFont="1" applyFill="1" applyBorder="1" applyAlignment="1">
      <alignment horizontal="center" vertical="center" wrapText="1"/>
    </xf>
    <xf numFmtId="0" fontId="0" fillId="0" borderId="4" xfId="0" applyBorder="1" applyAlignment="1">
      <alignment horizontal="left" vertical="center"/>
    </xf>
    <xf numFmtId="0" fontId="10" fillId="0" borderId="4" xfId="0" applyFont="1" applyBorder="1" applyAlignment="1">
      <alignment horizontal="left" vertical="justify"/>
    </xf>
    <xf numFmtId="0" fontId="10" fillId="0" borderId="4" xfId="0" applyFont="1" applyBorder="1" applyAlignment="1">
      <alignment horizontal="left" vertical="center" wrapText="1"/>
    </xf>
    <xf numFmtId="0" fontId="14" fillId="8" borderId="6" xfId="0" applyFont="1" applyFill="1" applyBorder="1" applyAlignment="1">
      <alignment horizontal="center" vertical="center" wrapText="1"/>
    </xf>
    <xf numFmtId="0" fontId="0" fillId="0" borderId="0" xfId="0" applyAlignment="1">
      <alignment horizontal="left"/>
    </xf>
    <xf numFmtId="0" fontId="14" fillId="4" borderId="0" xfId="18" applyFont="1" applyFill="1" applyAlignment="1">
      <alignment horizontal="left"/>
    </xf>
    <xf numFmtId="0" fontId="41" fillId="9" borderId="4" xfId="0" applyFont="1" applyFill="1" applyBorder="1" applyAlignment="1">
      <alignment horizontal="center" vertical="center"/>
    </xf>
    <xf numFmtId="0" fontId="13" fillId="4" borderId="0" xfId="18" applyFont="1" applyFill="1"/>
    <xf numFmtId="0" fontId="11" fillId="14" borderId="4" xfId="0" applyFont="1" applyFill="1" applyBorder="1" applyAlignment="1">
      <alignment horizontal="center" vertical="center" wrapText="1"/>
    </xf>
    <xf numFmtId="2" fontId="10" fillId="0" borderId="4" xfId="0" applyNumberFormat="1" applyFont="1" applyBorder="1" applyAlignment="1">
      <alignment horizontal="right" vertical="center" wrapText="1"/>
    </xf>
    <xf numFmtId="10" fontId="10" fillId="0" borderId="4" xfId="59" applyNumberFormat="1" applyFont="1" applyBorder="1" applyAlignment="1">
      <alignment horizontal="right" vertical="center" wrapText="1"/>
    </xf>
    <xf numFmtId="10" fontId="10" fillId="0" borderId="4" xfId="0" applyNumberFormat="1" applyFont="1" applyBorder="1" applyAlignment="1">
      <alignment horizontal="right" vertical="center" wrapText="1"/>
    </xf>
    <xf numFmtId="0" fontId="10" fillId="0" borderId="4" xfId="0" applyFont="1" applyBorder="1" applyAlignment="1">
      <alignment horizontal="right" vertical="center" wrapText="1"/>
    </xf>
    <xf numFmtId="0" fontId="10" fillId="0" borderId="4" xfId="0" applyFont="1" applyBorder="1" applyAlignment="1">
      <alignment horizontal="justify" vertical="center" wrapText="1"/>
    </xf>
    <xf numFmtId="0" fontId="45" fillId="0" borderId="4" xfId="0" applyFont="1" applyBorder="1" applyAlignment="1">
      <alignment horizontal="center" vertical="center" wrapText="1"/>
    </xf>
    <xf numFmtId="2" fontId="10" fillId="5" borderId="4" xfId="0" applyNumberFormat="1" applyFont="1" applyFill="1" applyBorder="1" applyAlignment="1">
      <alignment horizontal="right" vertical="center" wrapText="1"/>
    </xf>
    <xf numFmtId="0" fontId="11" fillId="0" borderId="4" xfId="0" applyFont="1" applyBorder="1" applyAlignment="1">
      <alignment horizontal="justify" vertical="center" wrapText="1"/>
    </xf>
    <xf numFmtId="10" fontId="10" fillId="0" borderId="4" xfId="59" applyNumberFormat="1" applyFont="1" applyFill="1" applyBorder="1" applyAlignment="1">
      <alignment horizontal="right" vertical="center" wrapText="1"/>
    </xf>
    <xf numFmtId="0" fontId="11" fillId="0" borderId="4" xfId="0" applyFont="1" applyBorder="1" applyAlignment="1">
      <alignment horizontal="center" vertical="center"/>
    </xf>
    <xf numFmtId="10" fontId="0" fillId="0" borderId="4" xfId="59" applyNumberFormat="1" applyFont="1" applyBorder="1" applyAlignment="1">
      <alignment horizontal="right" vertical="center"/>
    </xf>
    <xf numFmtId="0" fontId="46" fillId="8" borderId="4" xfId="0" applyFont="1" applyFill="1" applyBorder="1" applyAlignment="1">
      <alignment horizontal="center" vertical="center" wrapText="1"/>
    </xf>
    <xf numFmtId="0" fontId="11" fillId="0" borderId="4" xfId="0" applyFont="1" applyBorder="1" applyAlignment="1">
      <alignment horizontal="justify" vertical="center"/>
    </xf>
    <xf numFmtId="2" fontId="11" fillId="0" borderId="4" xfId="0" applyNumberFormat="1" applyFont="1" applyBorder="1" applyAlignment="1">
      <alignment horizontal="right" vertical="center"/>
    </xf>
    <xf numFmtId="2" fontId="0" fillId="0" borderId="4" xfId="0" applyNumberFormat="1" applyBorder="1" applyAlignment="1">
      <alignment horizontal="right" vertical="center"/>
    </xf>
    <xf numFmtId="10" fontId="11" fillId="0" borderId="4" xfId="59" applyNumberFormat="1" applyFont="1" applyBorder="1" applyAlignment="1">
      <alignment horizontal="center" vertical="center" wrapText="1"/>
    </xf>
    <xf numFmtId="0" fontId="11" fillId="0" borderId="4" xfId="0" applyFont="1" applyBorder="1" applyAlignment="1">
      <alignment horizontal="center" vertical="center" wrapText="1"/>
    </xf>
    <xf numFmtId="2" fontId="11" fillId="0" borderId="4" xfId="0" applyNumberFormat="1" applyFont="1" applyBorder="1" applyAlignment="1">
      <alignment horizontal="right" vertical="center" wrapText="1"/>
    </xf>
    <xf numFmtId="0" fontId="0" fillId="0" borderId="4" xfId="0" applyBorder="1" applyAlignment="1">
      <alignment horizontal="right" vertical="center"/>
    </xf>
    <xf numFmtId="9" fontId="11" fillId="0" borderId="4" xfId="0" applyNumberFormat="1" applyFont="1" applyBorder="1" applyAlignment="1">
      <alignment horizontal="right" vertical="center" wrapText="1"/>
    </xf>
    <xf numFmtId="9" fontId="11" fillId="0" borderId="4" xfId="0" applyNumberFormat="1" applyFont="1" applyBorder="1" applyAlignment="1">
      <alignment horizontal="right" vertical="center"/>
    </xf>
    <xf numFmtId="2" fontId="0" fillId="5" borderId="4" xfId="0" applyNumberFormat="1" applyFill="1" applyBorder="1" applyAlignment="1">
      <alignment horizontal="right" vertical="center"/>
    </xf>
    <xf numFmtId="4" fontId="11" fillId="0" borderId="4" xfId="0" applyNumberFormat="1" applyFont="1" applyBorder="1" applyAlignment="1">
      <alignment horizontal="right" vertical="center"/>
    </xf>
    <xf numFmtId="9" fontId="11" fillId="0" borderId="4" xfId="59" applyFont="1" applyBorder="1" applyAlignment="1">
      <alignment horizontal="center" vertical="center" wrapText="1"/>
    </xf>
    <xf numFmtId="2" fontId="11" fillId="0" borderId="4" xfId="0" applyNumberFormat="1" applyFont="1" applyBorder="1" applyAlignment="1">
      <alignment vertical="center" wrapText="1"/>
    </xf>
    <xf numFmtId="9" fontId="0" fillId="0" borderId="4" xfId="59" applyFont="1" applyBorder="1" applyAlignment="1">
      <alignment horizontal="center" vertical="center" wrapText="1"/>
    </xf>
    <xf numFmtId="4" fontId="47" fillId="0" borderId="4" xfId="0" applyNumberFormat="1" applyFont="1" applyBorder="1" applyAlignment="1">
      <alignment horizontal="right" vertical="center"/>
    </xf>
    <xf numFmtId="0" fontId="11" fillId="8" borderId="3" xfId="0" applyFont="1" applyFill="1" applyBorder="1" applyAlignment="1">
      <alignment horizontal="center" vertical="center" wrapText="1"/>
    </xf>
    <xf numFmtId="2" fontId="12" fillId="0" borderId="4" xfId="0" applyNumberFormat="1" applyFont="1" applyBorder="1" applyAlignment="1">
      <alignment horizontal="right" vertical="center"/>
    </xf>
    <xf numFmtId="0" fontId="12" fillId="0" borderId="4" xfId="0" applyFont="1" applyBorder="1" applyAlignment="1">
      <alignment horizontal="center" vertical="center" wrapText="1"/>
    </xf>
    <xf numFmtId="2" fontId="12" fillId="0" borderId="4" xfId="0" applyNumberFormat="1" applyFont="1" applyBorder="1" applyAlignment="1">
      <alignment horizontal="right" vertical="center" wrapText="1"/>
    </xf>
    <xf numFmtId="0" fontId="12" fillId="0" borderId="0" xfId="0" applyFont="1" applyAlignment="1">
      <alignment horizontal="center" vertical="center"/>
    </xf>
    <xf numFmtId="0" fontId="12" fillId="0" borderId="4" xfId="0" applyFont="1" applyBorder="1" applyAlignment="1">
      <alignment vertical="center" wrapText="1"/>
    </xf>
    <xf numFmtId="10" fontId="12" fillId="0" borderId="4" xfId="59" applyNumberFormat="1" applyFont="1" applyBorder="1" applyAlignment="1">
      <alignment horizontal="right" vertical="center" wrapText="1"/>
    </xf>
    <xf numFmtId="2" fontId="12" fillId="5" borderId="4" xfId="0" applyNumberFormat="1" applyFont="1" applyFill="1" applyBorder="1" applyAlignment="1">
      <alignment horizontal="right" vertical="center"/>
    </xf>
    <xf numFmtId="10" fontId="12" fillId="0" borderId="4" xfId="59" applyNumberFormat="1" applyFont="1" applyBorder="1" applyAlignment="1">
      <alignment horizontal="right" vertical="center"/>
    </xf>
    <xf numFmtId="0" fontId="12" fillId="0" borderId="4" xfId="0" applyFont="1" applyBorder="1" applyAlignment="1">
      <alignment horizontal="justify" vertical="center"/>
    </xf>
    <xf numFmtId="2" fontId="12" fillId="0" borderId="4" xfId="0" applyNumberFormat="1" applyFont="1" applyBorder="1"/>
    <xf numFmtId="0" fontId="11" fillId="13" borderId="4" xfId="0" applyFont="1" applyFill="1" applyBorder="1" applyAlignment="1">
      <alignment horizontal="center" vertical="center" wrapText="1"/>
    </xf>
    <xf numFmtId="9" fontId="12" fillId="0" borderId="4" xfId="59" applyFont="1" applyBorder="1" applyAlignment="1">
      <alignment horizontal="center" vertical="center" wrapText="1"/>
    </xf>
    <xf numFmtId="2" fontId="12" fillId="0" borderId="4" xfId="0" applyNumberFormat="1" applyFont="1" applyBorder="1" applyAlignment="1">
      <alignment vertical="center" wrapText="1"/>
    </xf>
    <xf numFmtId="4" fontId="12" fillId="0" borderId="4" xfId="0" applyNumberFormat="1" applyFont="1" applyBorder="1" applyAlignment="1">
      <alignment horizontal="right" vertical="center"/>
    </xf>
    <xf numFmtId="0" fontId="12" fillId="0" borderId="4" xfId="0" applyFont="1" applyBorder="1" applyAlignment="1">
      <alignment horizontal="center" vertical="center"/>
    </xf>
    <xf numFmtId="0" fontId="0" fillId="0" borderId="4" xfId="111" applyFont="1" applyBorder="1" applyAlignment="1">
      <alignment vertical="center" wrapText="1"/>
    </xf>
    <xf numFmtId="0" fontId="12" fillId="0" borderId="4" xfId="111" applyFont="1" applyBorder="1" applyAlignment="1">
      <alignment vertical="center" wrapText="1"/>
    </xf>
    <xf numFmtId="0" fontId="48" fillId="0" borderId="0" xfId="91" applyFont="1" applyAlignment="1">
      <alignment vertical="center" wrapText="1"/>
    </xf>
    <xf numFmtId="0" fontId="14" fillId="11" borderId="4" xfId="91" applyFont="1" applyFill="1" applyBorder="1" applyAlignment="1">
      <alignment horizontal="center" vertical="center" wrapText="1"/>
    </xf>
    <xf numFmtId="0" fontId="14" fillId="0" borderId="4" xfId="91" applyFont="1" applyBorder="1" applyAlignment="1">
      <alignment horizontal="center" vertical="center" wrapText="1"/>
    </xf>
    <xf numFmtId="0" fontId="49" fillId="0" borderId="4" xfId="91" applyFont="1" applyBorder="1" applyAlignment="1">
      <alignment vertical="center" wrapText="1"/>
    </xf>
    <xf numFmtId="2" fontId="49" fillId="0" borderId="4" xfId="91" applyNumberFormat="1" applyFont="1" applyBorder="1" applyAlignment="1">
      <alignment horizontal="center" vertical="center" wrapText="1"/>
    </xf>
    <xf numFmtId="0" fontId="49" fillId="0" borderId="4" xfId="91" applyFont="1" applyBorder="1" applyAlignment="1">
      <alignment horizontal="center" vertical="center" wrapText="1"/>
    </xf>
    <xf numFmtId="0" fontId="10" fillId="0" borderId="4" xfId="91" applyFont="1" applyBorder="1" applyAlignment="1">
      <alignment vertical="center" wrapText="1"/>
    </xf>
    <xf numFmtId="2" fontId="10" fillId="0" borderId="4" xfId="91" applyNumberFormat="1" applyFont="1" applyBorder="1" applyAlignment="1">
      <alignment horizontal="center" vertical="center" wrapText="1"/>
    </xf>
    <xf numFmtId="0" fontId="14" fillId="0" borderId="4" xfId="91" applyFont="1" applyBorder="1" applyAlignment="1">
      <alignment vertical="center" wrapText="1"/>
    </xf>
    <xf numFmtId="10" fontId="10" fillId="0" borderId="0" xfId="59" applyNumberFormat="1" applyFont="1" applyAlignment="1">
      <alignment vertical="center"/>
    </xf>
    <xf numFmtId="0" fontId="14" fillId="0" borderId="4" xfId="91" applyFont="1" applyBorder="1" applyAlignment="1">
      <alignment horizontal="left" vertical="center" wrapText="1"/>
    </xf>
    <xf numFmtId="0" fontId="10" fillId="0" borderId="6" xfId="91" applyFont="1" applyBorder="1" applyAlignment="1">
      <alignment vertical="center" wrapText="1"/>
    </xf>
    <xf numFmtId="2" fontId="10" fillId="0" borderId="12" xfId="91" applyNumberFormat="1" applyFont="1" applyBorder="1" applyAlignment="1">
      <alignment horizontal="center" vertical="center" wrapText="1"/>
    </xf>
    <xf numFmtId="10" fontId="10" fillId="0" borderId="4" xfId="91" applyNumberFormat="1" applyFont="1" applyBorder="1" applyAlignment="1">
      <alignment horizontal="center" vertical="center" wrapText="1"/>
    </xf>
    <xf numFmtId="2" fontId="10" fillId="0" borderId="0" xfId="91" applyNumberFormat="1" applyFont="1" applyAlignment="1">
      <alignment vertical="center"/>
    </xf>
    <xf numFmtId="0" fontId="10" fillId="0" borderId="4" xfId="91" applyFont="1" applyBorder="1" applyAlignment="1">
      <alignment horizontal="right" vertical="center" wrapText="1"/>
    </xf>
    <xf numFmtId="2" fontId="51" fillId="0" borderId="4" xfId="91" applyNumberFormat="1" applyFont="1" applyBorder="1" applyAlignment="1">
      <alignment horizontal="center" vertical="center" wrapText="1"/>
    </xf>
    <xf numFmtId="0" fontId="14" fillId="0" borderId="12" xfId="91" applyFont="1" applyBorder="1" applyAlignment="1">
      <alignment horizontal="left" vertical="center" wrapText="1"/>
    </xf>
    <xf numFmtId="0" fontId="14" fillId="0" borderId="6" xfId="91" applyFont="1" applyBorder="1" applyAlignment="1">
      <alignment horizontal="center" vertical="center" wrapText="1"/>
    </xf>
    <xf numFmtId="0" fontId="28" fillId="0" borderId="4" xfId="0" applyFont="1" applyBorder="1" applyAlignment="1">
      <alignment horizontal="justify" vertical="center" wrapText="1"/>
    </xf>
    <xf numFmtId="0" fontId="14" fillId="0" borderId="0" xfId="91" applyFont="1" applyAlignment="1">
      <alignment vertical="center" wrapText="1"/>
    </xf>
    <xf numFmtId="2" fontId="49" fillId="0" borderId="4" xfId="91" applyNumberFormat="1" applyFont="1" applyBorder="1" applyAlignment="1">
      <alignment horizontal="right" vertical="center" wrapText="1"/>
    </xf>
    <xf numFmtId="2" fontId="10" fillId="0" borderId="4" xfId="91" applyNumberFormat="1" applyFont="1" applyBorder="1" applyAlignment="1">
      <alignment horizontal="right" vertical="center" wrapText="1"/>
    </xf>
    <xf numFmtId="0" fontId="50" fillId="0" borderId="4" xfId="91" applyFont="1" applyBorder="1" applyAlignment="1">
      <alignment horizontal="center" vertical="center" wrapText="1"/>
    </xf>
    <xf numFmtId="0" fontId="14" fillId="0" borderId="14" xfId="91" applyFont="1" applyBorder="1" applyAlignment="1">
      <alignment vertical="center" wrapText="1"/>
    </xf>
    <xf numFmtId="0" fontId="10" fillId="0" borderId="0" xfId="91" applyFont="1" applyAlignment="1">
      <alignment vertical="center" wrapText="1"/>
    </xf>
    <xf numFmtId="0" fontId="14" fillId="8" borderId="4" xfId="91" applyFont="1" applyFill="1" applyBorder="1" applyAlignment="1">
      <alignment horizontal="center" vertical="center" wrapText="1"/>
    </xf>
    <xf numFmtId="0" fontId="14" fillId="8" borderId="7" xfId="91" applyFont="1" applyFill="1" applyBorder="1" applyAlignment="1">
      <alignment horizontal="left" vertical="center"/>
    </xf>
    <xf numFmtId="0" fontId="14" fillId="8" borderId="4" xfId="91" applyFont="1" applyFill="1" applyBorder="1" applyAlignment="1">
      <alignment horizontal="left" vertical="center"/>
    </xf>
    <xf numFmtId="0" fontId="14" fillId="0" borderId="12" xfId="91" applyFont="1" applyBorder="1" applyAlignment="1">
      <alignment vertical="center" wrapText="1"/>
    </xf>
    <xf numFmtId="0" fontId="14" fillId="0" borderId="12" xfId="91" applyFont="1" applyBorder="1" applyAlignment="1">
      <alignment horizontal="center" vertical="center" wrapText="1"/>
    </xf>
    <xf numFmtId="0" fontId="14" fillId="8" borderId="4" xfId="91" applyFont="1" applyFill="1" applyBorder="1" applyAlignment="1">
      <alignment horizontal="left" vertical="center" wrapText="1"/>
    </xf>
    <xf numFmtId="0" fontId="14" fillId="8" borderId="4" xfId="0" applyFont="1" applyFill="1" applyBorder="1" applyAlignment="1">
      <alignment horizontal="left" vertical="center" wrapText="1"/>
    </xf>
    <xf numFmtId="2" fontId="11" fillId="0" borderId="3" xfId="0" applyNumberFormat="1" applyFont="1" applyBorder="1"/>
    <xf numFmtId="10" fontId="11" fillId="0" borderId="3" xfId="59" applyNumberFormat="1" applyFont="1" applyFill="1" applyBorder="1"/>
    <xf numFmtId="43" fontId="45" fillId="0" borderId="4" xfId="0" applyNumberFormat="1" applyFont="1" applyBorder="1" applyAlignment="1">
      <alignment horizontal="left" vertical="center"/>
    </xf>
    <xf numFmtId="2" fontId="0" fillId="0" borderId="4" xfId="0" applyNumberFormat="1" applyBorder="1"/>
    <xf numFmtId="10" fontId="0" fillId="0" borderId="4" xfId="59" applyNumberFormat="1" applyFont="1" applyFill="1" applyBorder="1"/>
    <xf numFmtId="2" fontId="0" fillId="0" borderId="4" xfId="59" applyNumberFormat="1" applyFont="1" applyFill="1" applyBorder="1"/>
    <xf numFmtId="2" fontId="0" fillId="0" borderId="0" xfId="0" applyNumberFormat="1"/>
    <xf numFmtId="0" fontId="14" fillId="0" borderId="4" xfId="0" applyFont="1" applyBorder="1" applyAlignment="1">
      <alignment horizontal="left" vertical="center"/>
    </xf>
    <xf numFmtId="0" fontId="10" fillId="0" borderId="4" xfId="0" applyFont="1" applyBorder="1" applyAlignment="1">
      <alignment horizontal="left" vertical="center"/>
    </xf>
    <xf numFmtId="0" fontId="19" fillId="0" borderId="4" xfId="0" applyFont="1" applyBorder="1" applyAlignment="1">
      <alignment horizontal="left" vertical="center"/>
    </xf>
    <xf numFmtId="2" fontId="14" fillId="0" borderId="4" xfId="0" applyNumberFormat="1" applyFont="1" applyBorder="1"/>
    <xf numFmtId="10" fontId="12" fillId="0" borderId="4" xfId="59" applyNumberFormat="1" applyFont="1" applyFill="1" applyBorder="1"/>
    <xf numFmtId="0" fontId="12" fillId="0" borderId="4" xfId="0" applyFont="1" applyBorder="1" applyAlignment="1">
      <alignment horizontal="right" vertical="center" wrapText="1"/>
    </xf>
    <xf numFmtId="10" fontId="12" fillId="0" borderId="4" xfId="59" applyNumberFormat="1" applyFont="1" applyFill="1" applyBorder="1" applyAlignment="1">
      <alignment horizontal="right" vertical="center" wrapText="1"/>
    </xf>
    <xf numFmtId="0" fontId="10" fillId="0" borderId="12" xfId="91" applyFont="1" applyBorder="1" applyAlignment="1">
      <alignment vertical="center" wrapText="1"/>
    </xf>
    <xf numFmtId="0" fontId="28" fillId="0" borderId="12" xfId="0" applyFont="1" applyBorder="1" applyAlignment="1">
      <alignment horizontal="justify" vertical="center" wrapText="1"/>
    </xf>
    <xf numFmtId="0" fontId="48" fillId="8" borderId="4" xfId="91" applyFont="1" applyFill="1" applyBorder="1" applyAlignment="1">
      <alignment horizontal="center" vertical="center" wrapText="1"/>
    </xf>
    <xf numFmtId="0" fontId="48" fillId="8" borderId="4" xfId="91" applyFont="1" applyFill="1" applyBorder="1" applyAlignment="1">
      <alignment vertical="center" wrapText="1"/>
    </xf>
    <xf numFmtId="0" fontId="39" fillId="0" borderId="0" xfId="91" applyFont="1" applyAlignment="1">
      <alignment vertical="center"/>
    </xf>
    <xf numFmtId="0" fontId="14" fillId="0" borderId="0" xfId="107" applyFont="1" applyAlignment="1">
      <alignment horizontal="left" vertical="center"/>
    </xf>
    <xf numFmtId="0" fontId="10" fillId="0" borderId="0" xfId="107" applyFont="1">
      <alignment vertical="center"/>
    </xf>
    <xf numFmtId="0" fontId="39" fillId="0" borderId="0" xfId="107" applyFont="1">
      <alignment vertical="center"/>
    </xf>
    <xf numFmtId="0" fontId="11" fillId="15" borderId="4" xfId="107" applyFont="1" applyFill="1" applyBorder="1" applyAlignment="1">
      <alignment horizontal="center" vertical="center"/>
    </xf>
    <xf numFmtId="0" fontId="11" fillId="15" borderId="4" xfId="91" applyFont="1" applyFill="1" applyBorder="1" applyAlignment="1">
      <alignment horizontal="center" vertical="center" wrapText="1"/>
    </xf>
    <xf numFmtId="0" fontId="14" fillId="16" borderId="0" xfId="91" applyFont="1" applyFill="1" applyAlignment="1">
      <alignment vertical="center"/>
    </xf>
    <xf numFmtId="0" fontId="10" fillId="16" borderId="0" xfId="91" applyFont="1" applyFill="1" applyAlignment="1">
      <alignment vertical="center"/>
    </xf>
    <xf numFmtId="0" fontId="38" fillId="0" borderId="0" xfId="107" applyFont="1">
      <alignment vertical="center"/>
    </xf>
    <xf numFmtId="0" fontId="11" fillId="17" borderId="4" xfId="0" applyFont="1" applyFill="1" applyBorder="1" applyAlignment="1">
      <alignment vertical="center"/>
    </xf>
    <xf numFmtId="2" fontId="11" fillId="17" borderId="4" xfId="0" applyNumberFormat="1" applyFont="1" applyFill="1" applyBorder="1" applyAlignment="1">
      <alignment vertical="center"/>
    </xf>
    <xf numFmtId="9" fontId="0" fillId="0" borderId="0" xfId="59" applyFont="1" applyAlignment="1">
      <alignment vertical="center"/>
    </xf>
    <xf numFmtId="0" fontId="11" fillId="0" borderId="4" xfId="0" applyFont="1" applyBorder="1" applyAlignment="1">
      <alignment horizontal="center"/>
    </xf>
    <xf numFmtId="0" fontId="46" fillId="8" borderId="7" xfId="0" applyFont="1" applyFill="1" applyBorder="1" applyAlignment="1">
      <alignment horizontal="center" vertical="center" wrapText="1"/>
    </xf>
    <xf numFmtId="0" fontId="46" fillId="14" borderId="4" xfId="0" applyFont="1" applyFill="1" applyBorder="1" applyAlignment="1">
      <alignment horizontal="center" vertical="center"/>
    </xf>
    <xf numFmtId="0" fontId="46" fillId="14" borderId="4"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0" fillId="5" borderId="0" xfId="0" applyFill="1" applyAlignment="1">
      <alignment vertical="center"/>
    </xf>
    <xf numFmtId="2" fontId="0" fillId="5" borderId="0" xfId="0" applyNumberFormat="1" applyFill="1" applyAlignment="1">
      <alignment vertical="center"/>
    </xf>
    <xf numFmtId="2" fontId="0" fillId="0" borderId="0" xfId="0" applyNumberFormat="1" applyAlignment="1">
      <alignment vertical="center"/>
    </xf>
    <xf numFmtId="0" fontId="53" fillId="4" borderId="0" xfId="18" applyFont="1" applyFill="1" applyAlignment="1">
      <alignment horizontal="left"/>
    </xf>
    <xf numFmtId="0" fontId="42" fillId="0" borderId="0" xfId="0" applyFont="1"/>
    <xf numFmtId="2" fontId="42" fillId="0" borderId="0" xfId="0" applyNumberFormat="1" applyFont="1"/>
    <xf numFmtId="0" fontId="55" fillId="0" borderId="0" xfId="0" applyFont="1"/>
    <xf numFmtId="0" fontId="40" fillId="5" borderId="0" xfId="0" applyFont="1" applyFill="1"/>
    <xf numFmtId="0" fontId="40" fillId="5" borderId="0" xfId="0" applyFont="1" applyFill="1" applyAlignment="1">
      <alignment horizontal="center"/>
    </xf>
    <xf numFmtId="0" fontId="40" fillId="0" borderId="0" xfId="0" applyFont="1"/>
    <xf numFmtId="0" fontId="40" fillId="15" borderId="4" xfId="90" applyFont="1" applyFill="1" applyBorder="1" applyAlignment="1">
      <alignment horizontal="center" vertical="center" wrapText="1"/>
    </xf>
    <xf numFmtId="0" fontId="40" fillId="15" borderId="7" xfId="90" applyFont="1" applyFill="1" applyBorder="1" applyAlignment="1">
      <alignment horizontal="center" vertical="center" wrapText="1"/>
    </xf>
    <xf numFmtId="0" fontId="53" fillId="11" borderId="4" xfId="0" applyFont="1" applyFill="1" applyBorder="1" applyAlignment="1">
      <alignment horizontal="left" vertical="center" wrapText="1"/>
    </xf>
    <xf numFmtId="0" fontId="53" fillId="0" borderId="4" xfId="91" applyFont="1" applyBorder="1"/>
    <xf numFmtId="0" fontId="42" fillId="0" borderId="4" xfId="0" applyFont="1" applyBorder="1"/>
    <xf numFmtId="0" fontId="42" fillId="5" borderId="0" xfId="0" applyFont="1" applyFill="1" applyAlignment="1">
      <alignment vertical="center"/>
    </xf>
    <xf numFmtId="0" fontId="52" fillId="0" borderId="4" xfId="91" applyFont="1" applyBorder="1" applyAlignment="1">
      <alignment horizontal="center" vertical="center"/>
    </xf>
    <xf numFmtId="0" fontId="52" fillId="0" borderId="4" xfId="0" applyFont="1" applyBorder="1" applyAlignment="1">
      <alignment horizontal="left" vertical="center" wrapText="1"/>
    </xf>
    <xf numFmtId="0" fontId="52" fillId="0" borderId="4" xfId="91" applyFont="1" applyBorder="1"/>
    <xf numFmtId="2" fontId="42" fillId="0" borderId="4" xfId="0" applyNumberFormat="1" applyFont="1" applyBorder="1"/>
    <xf numFmtId="2" fontId="55" fillId="0" borderId="4" xfId="0" applyNumberFormat="1" applyFont="1" applyBorder="1"/>
    <xf numFmtId="2" fontId="42" fillId="5" borderId="0" xfId="0" applyNumberFormat="1" applyFont="1" applyFill="1" applyAlignment="1">
      <alignment vertical="center"/>
    </xf>
    <xf numFmtId="0" fontId="52" fillId="0" borderId="4" xfId="0" applyFont="1" applyBorder="1" applyAlignment="1">
      <alignment horizontal="left" vertical="center"/>
    </xf>
    <xf numFmtId="2" fontId="42" fillId="5" borderId="0" xfId="0" applyNumberFormat="1" applyFont="1" applyFill="1"/>
    <xf numFmtId="43" fontId="52" fillId="0" borderId="4" xfId="113" applyFont="1" applyBorder="1" applyAlignment="1">
      <alignment horizontal="left" vertical="center"/>
    </xf>
    <xf numFmtId="43" fontId="53" fillId="0" borderId="4" xfId="113" applyFont="1" applyBorder="1" applyAlignment="1">
      <alignment horizontal="left" vertical="center"/>
    </xf>
    <xf numFmtId="0" fontId="52" fillId="0" borderId="0" xfId="91" applyFont="1" applyAlignment="1">
      <alignment horizontal="center" vertical="center"/>
    </xf>
    <xf numFmtId="0" fontId="52" fillId="0" borderId="0" xfId="91" applyFont="1"/>
    <xf numFmtId="2" fontId="55" fillId="5" borderId="0" xfId="0" applyNumberFormat="1" applyFont="1" applyFill="1"/>
    <xf numFmtId="2" fontId="42" fillId="0" borderId="0" xfId="0" applyNumberFormat="1" applyFont="1" applyAlignment="1">
      <alignment vertical="center"/>
    </xf>
    <xf numFmtId="0" fontId="42" fillId="0" borderId="0" xfId="0" applyFont="1" applyAlignment="1">
      <alignment vertical="center"/>
    </xf>
    <xf numFmtId="0" fontId="42" fillId="0" borderId="0" xfId="0" applyFont="1" applyAlignment="1">
      <alignment horizontal="center" vertical="center"/>
    </xf>
    <xf numFmtId="0" fontId="40" fillId="0" borderId="4" xfId="0" applyFont="1" applyBorder="1" applyAlignment="1">
      <alignment horizontal="center" vertical="center" wrapText="1"/>
    </xf>
    <xf numFmtId="0" fontId="41" fillId="0" borderId="4" xfId="0" applyFont="1" applyBorder="1" applyAlignment="1">
      <alignment horizontal="center" vertical="center" wrapText="1"/>
    </xf>
    <xf numFmtId="4" fontId="43" fillId="0" borderId="4" xfId="0" applyNumberFormat="1" applyFont="1" applyBorder="1" applyAlignment="1">
      <alignment horizontal="right" vertical="center" wrapText="1"/>
    </xf>
    <xf numFmtId="0" fontId="40" fillId="0" borderId="4" xfId="0" applyFont="1" applyBorder="1"/>
    <xf numFmtId="0" fontId="42" fillId="0" borderId="0" xfId="0" applyFont="1" applyAlignment="1">
      <alignment horizontal="left"/>
    </xf>
    <xf numFmtId="0" fontId="55" fillId="0" borderId="0" xfId="0" applyFont="1" applyAlignment="1">
      <alignment horizontal="left"/>
    </xf>
    <xf numFmtId="0" fontId="42" fillId="0" borderId="4" xfId="0" applyFont="1" applyBorder="1" applyAlignment="1">
      <alignment horizontal="center" vertical="center"/>
    </xf>
    <xf numFmtId="0" fontId="40" fillId="0" borderId="0" xfId="0" applyFont="1" applyAlignment="1">
      <alignment horizontal="center"/>
    </xf>
    <xf numFmtId="10" fontId="42" fillId="0" borderId="0" xfId="59" applyNumberFormat="1" applyFont="1" applyFill="1" applyBorder="1"/>
    <xf numFmtId="0" fontId="41" fillId="0" borderId="0" xfId="0" applyFont="1" applyAlignment="1">
      <alignment horizontal="center" vertical="center" wrapText="1"/>
    </xf>
    <xf numFmtId="4" fontId="43" fillId="0" borderId="0" xfId="0" applyNumberFormat="1" applyFont="1" applyAlignment="1">
      <alignment horizontal="right" vertical="center" wrapText="1"/>
    </xf>
    <xf numFmtId="0" fontId="40" fillId="0" borderId="0" xfId="0" applyFont="1" applyAlignment="1">
      <alignment horizontal="left" vertical="center" wrapText="1"/>
    </xf>
    <xf numFmtId="0" fontId="40" fillId="0" borderId="6" xfId="0" applyFont="1" applyBorder="1" applyAlignment="1">
      <alignment horizontal="left"/>
    </xf>
    <xf numFmtId="0" fontId="40" fillId="0" borderId="3" xfId="0" applyFont="1" applyBorder="1" applyAlignment="1">
      <alignment horizontal="left"/>
    </xf>
    <xf numFmtId="0" fontId="14" fillId="0" borderId="24" xfId="18" applyFont="1" applyBorder="1" applyAlignment="1">
      <alignment horizontal="left"/>
    </xf>
    <xf numFmtId="2" fontId="10" fillId="0" borderId="3" xfId="91" applyNumberFormat="1" applyFont="1" applyBorder="1" applyAlignment="1">
      <alignment vertical="center"/>
    </xf>
    <xf numFmtId="0" fontId="46" fillId="0" borderId="0" xfId="0" applyFont="1" applyAlignment="1">
      <alignment horizontal="center" vertical="center"/>
    </xf>
    <xf numFmtId="2" fontId="11" fillId="0" borderId="0" xfId="0" applyNumberFormat="1" applyFont="1" applyAlignment="1">
      <alignment horizontal="right" vertical="center"/>
    </xf>
    <xf numFmtId="9" fontId="11" fillId="0" borderId="0" xfId="0" applyNumberFormat="1" applyFont="1" applyAlignment="1">
      <alignment horizontal="right" vertical="center"/>
    </xf>
    <xf numFmtId="2" fontId="12" fillId="0" borderId="0" xfId="0" applyNumberFormat="1" applyFont="1" applyAlignment="1">
      <alignment horizontal="right" vertical="center"/>
    </xf>
    <xf numFmtId="10" fontId="12" fillId="0" borderId="0" xfId="59" applyNumberFormat="1" applyFont="1" applyFill="1" applyBorder="1" applyAlignment="1">
      <alignment horizontal="right" vertical="center"/>
    </xf>
    <xf numFmtId="2" fontId="14" fillId="0" borderId="4" xfId="0" applyNumberFormat="1" applyFont="1" applyBorder="1" applyAlignment="1">
      <alignment wrapText="1"/>
    </xf>
    <xf numFmtId="0" fontId="11" fillId="8" borderId="4" xfId="0" applyFont="1" applyFill="1" applyBorder="1" applyAlignment="1">
      <alignment vertical="center" wrapText="1"/>
    </xf>
    <xf numFmtId="0" fontId="13" fillId="4" borderId="0" xfId="75" applyFont="1" applyFill="1"/>
    <xf numFmtId="0" fontId="42" fillId="0" borderId="0" xfId="0" applyFont="1" applyAlignment="1">
      <alignment horizontal="left" vertical="top" wrapText="1"/>
    </xf>
    <xf numFmtId="0" fontId="42" fillId="0" borderId="6" xfId="0" applyFont="1" applyBorder="1"/>
    <xf numFmtId="2" fontId="42" fillId="0" borderId="6" xfId="0" applyNumberFormat="1" applyFont="1" applyBorder="1"/>
    <xf numFmtId="10" fontId="42" fillId="0" borderId="4" xfId="59" applyNumberFormat="1" applyFont="1" applyBorder="1"/>
    <xf numFmtId="2" fontId="42" fillId="5" borderId="4" xfId="0" applyNumberFormat="1" applyFont="1" applyFill="1" applyBorder="1"/>
    <xf numFmtId="10" fontId="42" fillId="5" borderId="4" xfId="0" applyNumberFormat="1" applyFont="1" applyFill="1" applyBorder="1"/>
    <xf numFmtId="0" fontId="42" fillId="0" borderId="3" xfId="0" applyFont="1" applyBorder="1"/>
    <xf numFmtId="0" fontId="14" fillId="0" borderId="0" xfId="0" applyFont="1" applyAlignment="1">
      <alignment horizontal="center" vertical="center"/>
    </xf>
    <xf numFmtId="0" fontId="13" fillId="8" borderId="4" xfId="0" applyFont="1" applyFill="1" applyBorder="1" applyAlignment="1">
      <alignment horizontal="center" vertical="center"/>
    </xf>
    <xf numFmtId="0" fontId="16" fillId="0" borderId="4" xfId="0" applyFont="1" applyBorder="1" applyAlignment="1">
      <alignment vertical="center" wrapText="1"/>
    </xf>
    <xf numFmtId="0" fontId="17" fillId="0" borderId="7" xfId="0" applyFont="1" applyBorder="1" applyAlignment="1">
      <alignment vertical="center" wrapText="1"/>
    </xf>
    <xf numFmtId="0" fontId="14" fillId="0" borderId="7" xfId="0" applyFont="1" applyBorder="1" applyAlignment="1">
      <alignment wrapText="1"/>
    </xf>
    <xf numFmtId="0" fontId="53" fillId="0" borderId="4" xfId="91" applyFont="1" applyBorder="1" applyAlignment="1">
      <alignment horizontal="center" vertical="center"/>
    </xf>
    <xf numFmtId="0" fontId="16" fillId="0" borderId="15" xfId="0" applyFont="1" applyBorder="1" applyAlignment="1">
      <alignment vertical="center" wrapText="1"/>
    </xf>
    <xf numFmtId="0" fontId="17" fillId="0" borderId="15" xfId="0" applyFont="1" applyBorder="1" applyAlignment="1">
      <alignment vertical="center" wrapText="1"/>
    </xf>
    <xf numFmtId="0" fontId="10" fillId="0" borderId="4" xfId="76" applyFont="1" applyBorder="1"/>
    <xf numFmtId="43" fontId="52" fillId="0" borderId="4" xfId="113" applyFont="1" applyBorder="1" applyAlignment="1">
      <alignment horizontal="left" vertical="center" wrapText="1"/>
    </xf>
    <xf numFmtId="0" fontId="13" fillId="8" borderId="4" xfId="0" applyFont="1" applyFill="1" applyBorder="1" applyAlignment="1">
      <alignment vertical="center"/>
    </xf>
    <xf numFmtId="0" fontId="11" fillId="8" borderId="4" xfId="0" applyFont="1" applyFill="1" applyBorder="1" applyAlignment="1">
      <alignment vertical="center"/>
    </xf>
    <xf numFmtId="0" fontId="42" fillId="0" borderId="0" xfId="0" applyFont="1" applyAlignment="1">
      <alignment horizontal="justify" vertical="center"/>
    </xf>
    <xf numFmtId="0" fontId="53" fillId="4" borderId="0" xfId="18" applyFont="1" applyFill="1" applyAlignment="1">
      <alignment horizontal="center"/>
    </xf>
    <xf numFmtId="0" fontId="0" fillId="5" borderId="4" xfId="110" applyFont="1" applyFill="1" applyBorder="1" applyAlignment="1">
      <alignment vertical="center"/>
    </xf>
    <xf numFmtId="0" fontId="12" fillId="5" borderId="4" xfId="110" applyFont="1" applyFill="1" applyBorder="1" applyAlignment="1">
      <alignment vertical="center" wrapText="1"/>
    </xf>
    <xf numFmtId="164" fontId="11" fillId="0" borderId="0" xfId="73" applyFont="1" applyAlignment="1"/>
    <xf numFmtId="0" fontId="14" fillId="0" borderId="4" xfId="18" applyFont="1" applyBorder="1" applyAlignment="1">
      <alignment horizontal="center" vertical="center"/>
    </xf>
    <xf numFmtId="0" fontId="14" fillId="0" borderId="0" xfId="18" applyFont="1" applyAlignment="1">
      <alignment horizontal="center" vertical="center"/>
    </xf>
    <xf numFmtId="0" fontId="13" fillId="4" borderId="0" xfId="18" applyFont="1" applyFill="1" applyAlignment="1">
      <alignment vertical="center"/>
    </xf>
    <xf numFmtId="0" fontId="10" fillId="0" borderId="4" xfId="18" applyFont="1" applyBorder="1" applyAlignment="1">
      <alignment vertical="center" wrapText="1"/>
    </xf>
    <xf numFmtId="0" fontId="11" fillId="0" borderId="0" xfId="0" applyFont="1" applyAlignment="1">
      <alignment horizontal="left"/>
    </xf>
    <xf numFmtId="0" fontId="10" fillId="0" borderId="4" xfId="91" applyFont="1" applyBorder="1" applyAlignment="1">
      <alignment vertical="top" wrapText="1"/>
    </xf>
    <xf numFmtId="0" fontId="10" fillId="0" borderId="4" xfId="107" applyFont="1" applyBorder="1" applyAlignment="1">
      <alignment horizontal="center" vertical="center"/>
    </xf>
    <xf numFmtId="0" fontId="10" fillId="0" borderId="4" xfId="107" applyFont="1" applyBorder="1" applyAlignment="1">
      <alignment vertical="center" wrapText="1"/>
    </xf>
    <xf numFmtId="0" fontId="10" fillId="0" borderId="0" xfId="0" applyFont="1" applyAlignment="1">
      <alignment horizontal="left" vertical="center"/>
    </xf>
    <xf numFmtId="0" fontId="10" fillId="0" borderId="0" xfId="0" applyFont="1" applyAlignment="1">
      <alignment horizontal="justify" vertical="center"/>
    </xf>
    <xf numFmtId="0" fontId="10" fillId="0" borderId="0" xfId="18" applyFont="1" applyAlignment="1">
      <alignment vertical="center" wrapText="1"/>
    </xf>
    <xf numFmtId="0" fontId="12" fillId="5" borderId="0" xfId="110" applyFont="1" applyFill="1" applyAlignment="1">
      <alignment vertical="center" wrapText="1"/>
    </xf>
    <xf numFmtId="0" fontId="40" fillId="0" borderId="0" xfId="0" applyFont="1" applyAlignment="1">
      <alignment horizontal="justify" vertical="center"/>
    </xf>
    <xf numFmtId="0" fontId="0" fillId="0" borderId="7" xfId="0" applyBorder="1" applyAlignment="1">
      <alignment horizontal="center" vertical="center"/>
    </xf>
    <xf numFmtId="0" fontId="10" fillId="0" borderId="12" xfId="0" applyFont="1" applyBorder="1" applyAlignment="1">
      <alignment horizontal="center"/>
    </xf>
    <xf numFmtId="0" fontId="0" fillId="0" borderId="4" xfId="0" applyBorder="1" applyAlignment="1">
      <alignment horizontal="right" vertical="center" wrapText="1"/>
    </xf>
    <xf numFmtId="169" fontId="0" fillId="0" borderId="4" xfId="59" applyNumberFormat="1" applyFont="1" applyBorder="1" applyAlignment="1">
      <alignment vertical="center" wrapText="1"/>
    </xf>
    <xf numFmtId="0" fontId="61" fillId="8" borderId="4" xfId="0" applyFont="1" applyFill="1" applyBorder="1" applyAlignment="1">
      <alignment horizontal="center" vertical="center" wrapText="1"/>
    </xf>
    <xf numFmtId="0" fontId="61" fillId="8" borderId="4" xfId="18" applyFont="1" applyFill="1" applyBorder="1" applyAlignment="1">
      <alignment horizontal="center" vertical="center"/>
    </xf>
    <xf numFmtId="0" fontId="10" fillId="5" borderId="4" xfId="75" applyFont="1" applyFill="1" applyBorder="1" applyAlignment="1">
      <alignment horizontal="center" wrapText="1"/>
    </xf>
    <xf numFmtId="0" fontId="58" fillId="5" borderId="4" xfId="0" applyFont="1" applyFill="1" applyBorder="1"/>
    <xf numFmtId="0" fontId="0" fillId="5" borderId="4" xfId="0" applyFill="1" applyBorder="1"/>
    <xf numFmtId="0" fontId="58" fillId="0" borderId="0" xfId="0" applyFont="1"/>
    <xf numFmtId="0" fontId="62" fillId="5" borderId="4" xfId="0" applyFont="1" applyFill="1" applyBorder="1"/>
    <xf numFmtId="0" fontId="58" fillId="0" borderId="17" xfId="0" applyFont="1" applyBorder="1" applyAlignment="1">
      <alignment vertical="center"/>
    </xf>
    <xf numFmtId="0" fontId="0" fillId="5" borderId="0" xfId="0" applyFill="1"/>
    <xf numFmtId="0" fontId="61" fillId="8" borderId="4" xfId="108" applyFont="1" applyFill="1" applyBorder="1" applyAlignment="1">
      <alignment horizontal="center" vertical="center" wrapText="1"/>
    </xf>
    <xf numFmtId="0" fontId="61" fillId="5" borderId="4" xfId="76" applyFont="1" applyFill="1" applyBorder="1" applyAlignment="1">
      <alignment vertical="center"/>
    </xf>
    <xf numFmtId="0" fontId="62" fillId="0" borderId="4" xfId="0" applyFont="1" applyBorder="1" applyAlignment="1">
      <alignment horizontal="center" vertical="center"/>
    </xf>
    <xf numFmtId="0" fontId="62" fillId="0" borderId="7" xfId="0" applyFont="1" applyBorder="1" applyAlignment="1">
      <alignment vertical="center" wrapText="1"/>
    </xf>
    <xf numFmtId="0" fontId="58" fillId="0" borderId="0" xfId="0" applyFont="1" applyAlignment="1">
      <alignment vertical="center"/>
    </xf>
    <xf numFmtId="0" fontId="61" fillId="0" borderId="0" xfId="18" applyFont="1" applyAlignment="1">
      <alignment horizontal="left"/>
    </xf>
    <xf numFmtId="0" fontId="63" fillId="4" borderId="0" xfId="18" applyFont="1" applyFill="1"/>
    <xf numFmtId="0" fontId="61" fillId="4" borderId="0" xfId="18" applyFont="1" applyFill="1" applyAlignment="1">
      <alignment horizontal="center"/>
    </xf>
    <xf numFmtId="0" fontId="61" fillId="0" borderId="0" xfId="0" applyFont="1" applyAlignment="1">
      <alignment horizontal="center"/>
    </xf>
    <xf numFmtId="0" fontId="62" fillId="0" borderId="11" xfId="91" applyFont="1" applyBorder="1" applyAlignment="1">
      <alignment horizontal="center"/>
    </xf>
    <xf numFmtId="0" fontId="61" fillId="8" borderId="4" xfId="18" applyFont="1" applyFill="1" applyBorder="1" applyAlignment="1">
      <alignment horizontal="center"/>
    </xf>
    <xf numFmtId="0" fontId="61" fillId="8" borderId="4" xfId="18" applyFont="1" applyFill="1" applyBorder="1" applyAlignment="1">
      <alignment horizontal="center" wrapText="1"/>
    </xf>
    <xf numFmtId="0" fontId="62" fillId="0" borderId="4" xfId="0" applyFont="1" applyBorder="1" applyAlignment="1">
      <alignment wrapText="1"/>
    </xf>
    <xf numFmtId="0" fontId="62" fillId="0" borderId="4" xfId="0" applyFont="1" applyBorder="1"/>
    <xf numFmtId="0" fontId="61" fillId="0" borderId="4" xfId="0" applyFont="1" applyBorder="1"/>
    <xf numFmtId="0" fontId="61" fillId="0" borderId="4" xfId="0" applyFont="1" applyBorder="1" applyAlignment="1">
      <alignment wrapText="1"/>
    </xf>
    <xf numFmtId="0" fontId="0" fillId="0" borderId="7" xfId="0" applyBorder="1" applyAlignment="1">
      <alignment vertical="justify" wrapText="1"/>
    </xf>
    <xf numFmtId="0" fontId="10" fillId="5" borderId="0" xfId="0" applyFont="1" applyFill="1"/>
    <xf numFmtId="0" fontId="14" fillId="5" borderId="4" xfId="0" applyFont="1" applyFill="1" applyBorder="1"/>
    <xf numFmtId="164" fontId="10" fillId="5" borderId="4" xfId="73" applyFont="1" applyFill="1" applyBorder="1" applyAlignment="1">
      <alignment vertical="center"/>
    </xf>
    <xf numFmtId="0" fontId="10" fillId="5" borderId="4" xfId="0" applyFont="1" applyFill="1" applyBorder="1"/>
    <xf numFmtId="164" fontId="10" fillId="5" borderId="4" xfId="73" applyFont="1" applyFill="1" applyBorder="1"/>
    <xf numFmtId="164" fontId="14" fillId="5" borderId="4" xfId="73" applyFont="1" applyFill="1" applyBorder="1"/>
    <xf numFmtId="0" fontId="62" fillId="0" borderId="0" xfId="76" applyFont="1" applyAlignment="1">
      <alignment vertical="center"/>
    </xf>
    <xf numFmtId="0" fontId="62" fillId="0" borderId="0" xfId="76" applyFont="1" applyAlignment="1">
      <alignment horizontal="centerContinuous"/>
    </xf>
    <xf numFmtId="0" fontId="61" fillId="0" borderId="0" xfId="76" applyFont="1"/>
    <xf numFmtId="0" fontId="62" fillId="0" borderId="0" xfId="76" applyFont="1"/>
    <xf numFmtId="0" fontId="61" fillId="0" borderId="0" xfId="76" applyFont="1" applyAlignment="1">
      <alignment horizontal="centerContinuous"/>
    </xf>
    <xf numFmtId="0" fontId="61" fillId="0" borderId="0" xfId="76" applyFont="1" applyAlignment="1">
      <alignment horizontal="left"/>
    </xf>
    <xf numFmtId="0" fontId="61" fillId="0" borderId="0" xfId="91" applyFont="1" applyAlignment="1">
      <alignment horizontal="left" vertical="center"/>
    </xf>
    <xf numFmtId="0" fontId="61" fillId="5" borderId="0" xfId="76" applyFont="1" applyFill="1" applyAlignment="1">
      <alignment horizontal="centerContinuous"/>
    </xf>
    <xf numFmtId="0" fontId="62" fillId="5" borderId="0" xfId="76" applyFont="1" applyFill="1" applyAlignment="1">
      <alignment vertical="center"/>
    </xf>
    <xf numFmtId="0" fontId="61" fillId="0" borderId="0" xfId="76" applyFont="1" applyAlignment="1">
      <alignment vertical="center"/>
    </xf>
    <xf numFmtId="0" fontId="62" fillId="5" borderId="0" xfId="76" applyFont="1" applyFill="1" applyAlignment="1">
      <alignment horizontal="centerContinuous"/>
    </xf>
    <xf numFmtId="0" fontId="14" fillId="5" borderId="4" xfId="57" applyFont="1" applyFill="1" applyBorder="1" applyAlignment="1">
      <alignment vertical="center" wrapText="1"/>
    </xf>
    <xf numFmtId="0" fontId="10" fillId="5" borderId="4" xfId="0" applyFont="1" applyFill="1" applyBorder="1" applyAlignment="1">
      <alignment horizontal="center"/>
    </xf>
    <xf numFmtId="0" fontId="67" fillId="5" borderId="4" xfId="0" applyFont="1" applyFill="1" applyBorder="1" applyAlignment="1">
      <alignment vertical="center"/>
    </xf>
    <xf numFmtId="164" fontId="10" fillId="5" borderId="4" xfId="73" applyFont="1" applyFill="1" applyBorder="1" applyAlignment="1">
      <alignment horizontal="left" vertical="center"/>
    </xf>
    <xf numFmtId="0" fontId="10" fillId="5" borderId="4" xfId="18" applyFont="1" applyFill="1" applyBorder="1" applyAlignment="1">
      <alignment horizontal="center"/>
    </xf>
    <xf numFmtId="0" fontId="17" fillId="5" borderId="4" xfId="0" applyFont="1" applyFill="1" applyBorder="1" applyAlignment="1">
      <alignment horizontal="left" wrapText="1"/>
    </xf>
    <xf numFmtId="0" fontId="17" fillId="5" borderId="4" xfId="0" applyFont="1" applyFill="1" applyBorder="1" applyAlignment="1">
      <alignment horizontal="left"/>
    </xf>
    <xf numFmtId="0" fontId="17" fillId="5" borderId="4" xfId="18" applyFont="1" applyFill="1" applyBorder="1" applyAlignment="1">
      <alignment horizontal="left" wrapText="1"/>
    </xf>
    <xf numFmtId="0" fontId="14" fillId="5" borderId="4" xfId="18" applyFont="1" applyFill="1" applyBorder="1" applyAlignment="1">
      <alignment wrapText="1"/>
    </xf>
    <xf numFmtId="0" fontId="14" fillId="5" borderId="4" xfId="18" applyFont="1" applyFill="1" applyBorder="1" applyAlignment="1">
      <alignment horizontal="center"/>
    </xf>
    <xf numFmtId="0" fontId="10" fillId="5" borderId="4" xfId="18" applyFont="1" applyFill="1" applyBorder="1" applyAlignment="1">
      <alignment wrapText="1"/>
    </xf>
    <xf numFmtId="164" fontId="0" fillId="5" borderId="4" xfId="73" applyFont="1" applyFill="1" applyBorder="1" applyAlignment="1">
      <alignment vertical="center"/>
    </xf>
    <xf numFmtId="0" fontId="14" fillId="5" borderId="6" xfId="18" applyFont="1" applyFill="1" applyBorder="1" applyAlignment="1">
      <alignment horizontal="center"/>
    </xf>
    <xf numFmtId="0" fontId="11" fillId="5" borderId="4" xfId="0" applyFont="1" applyFill="1" applyBorder="1"/>
    <xf numFmtId="164" fontId="0" fillId="5" borderId="4" xfId="73" applyFont="1" applyFill="1" applyBorder="1"/>
    <xf numFmtId="0" fontId="10" fillId="5" borderId="7" xfId="18" applyFont="1" applyFill="1" applyBorder="1" applyAlignment="1">
      <alignment wrapText="1"/>
    </xf>
    <xf numFmtId="164" fontId="14" fillId="5" borderId="4" xfId="73" applyFont="1" applyFill="1" applyBorder="1" applyAlignment="1">
      <alignment wrapText="1"/>
    </xf>
    <xf numFmtId="0" fontId="10" fillId="5" borderId="6" xfId="18" applyFont="1" applyFill="1" applyBorder="1" applyAlignment="1">
      <alignment horizontal="center"/>
    </xf>
    <xf numFmtId="164" fontId="10" fillId="5" borderId="4" xfId="73" applyFont="1" applyFill="1" applyBorder="1" applyAlignment="1">
      <alignment wrapText="1"/>
    </xf>
    <xf numFmtId="0" fontId="0" fillId="5" borderId="4" xfId="0" applyFill="1" applyBorder="1" applyAlignment="1">
      <alignment horizontal="center" vertical="center"/>
    </xf>
    <xf numFmtId="0" fontId="0" fillId="5" borderId="4" xfId="0" applyFill="1" applyBorder="1" applyAlignment="1">
      <alignment vertical="center"/>
    </xf>
    <xf numFmtId="0" fontId="0" fillId="5" borderId="4" xfId="0" applyFill="1" applyBorder="1" applyAlignment="1">
      <alignment vertical="center" wrapText="1"/>
    </xf>
    <xf numFmtId="164" fontId="11" fillId="5" borderId="4" xfId="73" applyFont="1" applyFill="1" applyBorder="1" applyAlignment="1">
      <alignment vertical="center"/>
    </xf>
    <xf numFmtId="164" fontId="0" fillId="5" borderId="4" xfId="73" applyFont="1" applyFill="1" applyBorder="1" applyAlignment="1">
      <alignment horizontal="right" vertical="center"/>
    </xf>
    <xf numFmtId="0" fontId="0" fillId="5" borderId="0" xfId="0" applyFill="1" applyAlignment="1">
      <alignment horizontal="justify" vertical="top" wrapText="1"/>
    </xf>
    <xf numFmtId="0" fontId="0" fillId="5" borderId="0" xfId="0" applyFill="1" applyAlignment="1">
      <alignment vertical="top"/>
    </xf>
    <xf numFmtId="0" fontId="14" fillId="5" borderId="4" xfId="0" applyFont="1" applyFill="1" applyBorder="1" applyAlignment="1">
      <alignment vertical="justify" wrapText="1"/>
    </xf>
    <xf numFmtId="0" fontId="62" fillId="0" borderId="0" xfId="108" applyFont="1" applyAlignment="1">
      <alignment vertical="center"/>
    </xf>
    <xf numFmtId="0" fontId="61" fillId="0" borderId="0" xfId="108" applyFont="1" applyAlignment="1">
      <alignment vertical="center"/>
    </xf>
    <xf numFmtId="0" fontId="62" fillId="0" borderId="14" xfId="76" applyFont="1" applyBorder="1" applyAlignment="1">
      <alignment vertical="center"/>
    </xf>
    <xf numFmtId="0" fontId="64" fillId="0" borderId="4" xfId="0" applyFont="1" applyBorder="1" applyAlignment="1">
      <alignment vertical="center"/>
    </xf>
    <xf numFmtId="0" fontId="13" fillId="0" borderId="4" xfId="0" applyFont="1" applyBorder="1" applyAlignment="1">
      <alignment horizontal="left"/>
    </xf>
    <xf numFmtId="0" fontId="13" fillId="0" borderId="4" xfId="0" applyFont="1" applyBorder="1" applyAlignment="1">
      <alignment horizontal="justify"/>
    </xf>
    <xf numFmtId="0" fontId="14" fillId="0" borderId="4" xfId="0" applyFont="1" applyBorder="1" applyAlignment="1">
      <alignment horizontal="right"/>
    </xf>
    <xf numFmtId="164" fontId="10" fillId="19" borderId="4" xfId="73" applyFont="1" applyFill="1" applyBorder="1" applyAlignment="1">
      <alignment horizontal="center" vertical="center" wrapText="1"/>
    </xf>
    <xf numFmtId="0" fontId="61" fillId="19" borderId="4" xfId="18" applyFont="1" applyFill="1" applyBorder="1" applyAlignment="1">
      <alignment horizontal="center"/>
    </xf>
    <xf numFmtId="3" fontId="62" fillId="19" borderId="4" xfId="18" applyNumberFormat="1" applyFont="1" applyFill="1" applyBorder="1" applyAlignment="1">
      <alignment horizontal="center"/>
    </xf>
    <xf numFmtId="0" fontId="62" fillId="19" borderId="4" xfId="0" applyFont="1" applyFill="1" applyBorder="1"/>
    <xf numFmtId="164" fontId="62" fillId="5" borderId="4" xfId="73" applyFont="1" applyFill="1" applyBorder="1" applyAlignment="1">
      <alignment vertical="center"/>
    </xf>
    <xf numFmtId="164" fontId="58" fillId="5" borderId="4" xfId="73" applyFont="1" applyFill="1" applyBorder="1"/>
    <xf numFmtId="0" fontId="10" fillId="0" borderId="4" xfId="18" applyFont="1" applyBorder="1" applyAlignment="1">
      <alignment horizontal="center" vertical="center"/>
    </xf>
    <xf numFmtId="0" fontId="17" fillId="0" borderId="4" xfId="0" applyFont="1" applyBorder="1" applyAlignment="1">
      <alignment horizontal="left" vertical="center" wrapText="1"/>
    </xf>
    <xf numFmtId="0" fontId="12" fillId="0" borderId="0" xfId="0" applyFont="1" applyAlignment="1">
      <alignment vertical="center"/>
    </xf>
    <xf numFmtId="0" fontId="17" fillId="0" borderId="4" xfId="0" applyFont="1" applyBorder="1" applyAlignment="1">
      <alignment horizontal="left" vertical="center"/>
    </xf>
    <xf numFmtId="0" fontId="17" fillId="0" borderId="4" xfId="18" applyFont="1" applyBorder="1" applyAlignment="1">
      <alignment horizontal="left" vertical="center" wrapText="1"/>
    </xf>
    <xf numFmtId="0" fontId="14" fillId="0" borderId="4" xfId="18" applyFont="1" applyBorder="1" applyAlignment="1">
      <alignment vertical="center" wrapText="1"/>
    </xf>
    <xf numFmtId="0" fontId="14" fillId="0" borderId="6" xfId="18" applyFont="1" applyBorder="1" applyAlignment="1">
      <alignment horizontal="center" vertical="center"/>
    </xf>
    <xf numFmtId="0" fontId="11" fillId="0" borderId="4" xfId="0" applyFont="1" applyBorder="1" applyAlignment="1">
      <alignment vertical="center"/>
    </xf>
    <xf numFmtId="9" fontId="12" fillId="0" borderId="0" xfId="59" applyFont="1" applyAlignment="1">
      <alignment vertical="center"/>
    </xf>
    <xf numFmtId="0" fontId="14" fillId="0" borderId="7" xfId="18" applyFont="1" applyBorder="1" applyAlignment="1">
      <alignment vertical="center" wrapText="1"/>
    </xf>
    <xf numFmtId="10" fontId="12" fillId="0" borderId="0" xfId="59" applyNumberFormat="1" applyFont="1" applyAlignment="1">
      <alignment vertical="center"/>
    </xf>
    <xf numFmtId="0" fontId="10" fillId="0" borderId="7" xfId="18" applyFont="1" applyBorder="1" applyAlignment="1">
      <alignment vertical="center" wrapText="1"/>
    </xf>
    <xf numFmtId="164" fontId="14" fillId="0" borderId="4" xfId="73" applyFont="1" applyBorder="1" applyAlignment="1">
      <alignment vertical="center" wrapText="1"/>
    </xf>
    <xf numFmtId="0" fontId="10" fillId="0" borderId="6" xfId="18" applyFont="1" applyBorder="1" applyAlignment="1">
      <alignment horizontal="center" vertical="center"/>
    </xf>
    <xf numFmtId="164" fontId="10" fillId="0" borderId="4" xfId="73" applyFont="1" applyBorder="1" applyAlignment="1">
      <alignment vertical="center" wrapText="1"/>
    </xf>
    <xf numFmtId="164" fontId="14" fillId="0" borderId="4" xfId="73" applyFont="1" applyBorder="1" applyAlignment="1">
      <alignment vertical="center"/>
    </xf>
    <xf numFmtId="0" fontId="12" fillId="0" borderId="4" xfId="0" applyFont="1" applyBorder="1" applyAlignment="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2" fontId="12" fillId="0" borderId="4" xfId="0" applyNumberFormat="1" applyFont="1" applyBorder="1" applyAlignment="1">
      <alignment vertical="center"/>
    </xf>
    <xf numFmtId="0" fontId="14" fillId="0" borderId="0" xfId="18" applyFont="1" applyAlignment="1">
      <alignment horizontal="left" vertical="center"/>
    </xf>
    <xf numFmtId="0" fontId="13" fillId="4" borderId="0" xfId="18" applyFont="1" applyFill="1" applyAlignment="1">
      <alignment horizontal="left" vertical="center"/>
    </xf>
    <xf numFmtId="0" fontId="0" fillId="18" borderId="0" xfId="0" applyFill="1" applyAlignment="1">
      <alignment vertical="center"/>
    </xf>
    <xf numFmtId="2" fontId="0" fillId="0" borderId="4" xfId="0" applyNumberFormat="1" applyBorder="1" applyAlignment="1">
      <alignment vertical="center"/>
    </xf>
    <xf numFmtId="4" fontId="41" fillId="9" borderId="4" xfId="0" applyNumberFormat="1" applyFont="1" applyFill="1" applyBorder="1" applyAlignment="1">
      <alignment horizontal="center" vertical="center"/>
    </xf>
    <xf numFmtId="0" fontId="43" fillId="0" borderId="4" xfId="0" applyFont="1" applyBorder="1" applyAlignment="1">
      <alignment horizontal="left" vertical="center" wrapText="1"/>
    </xf>
    <xf numFmtId="0" fontId="41" fillId="0" borderId="4" xfId="0" applyFont="1" applyBorder="1" applyAlignment="1">
      <alignment horizontal="left" vertical="center" wrapText="1"/>
    </xf>
    <xf numFmtId="4" fontId="0" fillId="5" borderId="4" xfId="0" applyNumberFormat="1" applyFill="1" applyBorder="1" applyAlignment="1">
      <alignment horizontal="right" vertical="center"/>
    </xf>
    <xf numFmtId="0" fontId="0" fillId="5" borderId="4" xfId="0" applyFill="1" applyBorder="1" applyAlignment="1">
      <alignment horizontal="right" vertical="center"/>
    </xf>
    <xf numFmtId="10" fontId="11" fillId="5" borderId="4" xfId="59" applyNumberFormat="1" applyFont="1" applyFill="1" applyBorder="1"/>
    <xf numFmtId="164" fontId="10" fillId="5" borderId="7" xfId="73" applyFont="1" applyFill="1" applyBorder="1"/>
    <xf numFmtId="164" fontId="0" fillId="5" borderId="7" xfId="73" applyFont="1" applyFill="1" applyBorder="1"/>
    <xf numFmtId="0" fontId="12" fillId="5" borderId="4" xfId="18" applyFont="1" applyFill="1" applyBorder="1" applyAlignment="1">
      <alignment wrapText="1"/>
    </xf>
    <xf numFmtId="164" fontId="0" fillId="5" borderId="4" xfId="73" applyFont="1" applyFill="1" applyBorder="1" applyAlignment="1">
      <alignment horizontal="left"/>
    </xf>
    <xf numFmtId="164" fontId="11" fillId="5" borderId="4" xfId="73" applyFont="1" applyFill="1" applyBorder="1"/>
    <xf numFmtId="164" fontId="12" fillId="5" borderId="4" xfId="73" applyFont="1" applyFill="1" applyBorder="1" applyAlignment="1">
      <alignment horizontal="center"/>
    </xf>
    <xf numFmtId="0" fontId="58" fillId="5" borderId="4" xfId="76" applyFont="1" applyFill="1" applyBorder="1" applyAlignment="1">
      <alignment vertical="center" wrapText="1"/>
    </xf>
    <xf numFmtId="0" fontId="58" fillId="5" borderId="4" xfId="0" applyFont="1" applyFill="1" applyBorder="1" applyAlignment="1">
      <alignment horizontal="left"/>
    </xf>
    <xf numFmtId="164" fontId="61" fillId="5" borderId="4" xfId="73" applyFont="1" applyFill="1" applyBorder="1" applyAlignment="1">
      <alignment vertical="center"/>
    </xf>
    <xf numFmtId="0" fontId="62" fillId="5" borderId="4" xfId="76" applyFont="1" applyFill="1" applyBorder="1" applyAlignment="1">
      <alignment vertical="center"/>
    </xf>
    <xf numFmtId="0" fontId="61" fillId="5" borderId="15" xfId="76" applyFont="1" applyFill="1" applyBorder="1" applyAlignment="1">
      <alignment vertical="center"/>
    </xf>
    <xf numFmtId="164" fontId="12" fillId="5" borderId="4" xfId="73" applyFont="1" applyFill="1" applyBorder="1" applyAlignment="1">
      <alignment vertical="center"/>
    </xf>
    <xf numFmtId="0" fontId="58" fillId="0" borderId="4" xfId="75" applyFont="1" applyBorder="1" applyAlignment="1">
      <alignment horizontal="left" wrapText="1"/>
    </xf>
    <xf numFmtId="0" fontId="59" fillId="5" borderId="4" xfId="75" applyFont="1" applyFill="1" applyBorder="1" applyAlignment="1">
      <alignment horizontal="left" wrapText="1"/>
    </xf>
    <xf numFmtId="9" fontId="12" fillId="5" borderId="4" xfId="59" applyFont="1" applyFill="1" applyBorder="1" applyAlignment="1">
      <alignment horizontal="center" vertical="center" wrapText="1"/>
    </xf>
    <xf numFmtId="2" fontId="12" fillId="5" borderId="4" xfId="0" applyNumberFormat="1" applyFont="1" applyFill="1" applyBorder="1" applyAlignment="1">
      <alignment vertical="center" wrapText="1"/>
    </xf>
    <xf numFmtId="2" fontId="11" fillId="5" borderId="4" xfId="0" applyNumberFormat="1" applyFont="1" applyFill="1" applyBorder="1" applyAlignment="1">
      <alignment vertical="center" wrapText="1"/>
    </xf>
    <xf numFmtId="0" fontId="12" fillId="5" borderId="4" xfId="0" applyFont="1" applyFill="1" applyBorder="1" applyAlignment="1">
      <alignment vertical="center"/>
    </xf>
    <xf numFmtId="0" fontId="12" fillId="5" borderId="4" xfId="0" applyFont="1" applyFill="1" applyBorder="1" applyAlignment="1">
      <alignment horizontal="center" vertical="center"/>
    </xf>
    <xf numFmtId="0" fontId="11" fillId="5" borderId="4" xfId="18" applyFont="1" applyFill="1" applyBorder="1" applyAlignment="1">
      <alignment horizontal="center" vertical="center"/>
    </xf>
    <xf numFmtId="0" fontId="12" fillId="5" borderId="4" xfId="18" applyFont="1" applyFill="1" applyBorder="1" applyAlignment="1">
      <alignment vertical="center" wrapText="1"/>
    </xf>
    <xf numFmtId="0" fontId="12" fillId="5" borderId="4" xfId="18" applyFont="1" applyFill="1" applyBorder="1" applyAlignment="1">
      <alignment horizontal="center" vertical="center" wrapText="1"/>
    </xf>
    <xf numFmtId="0" fontId="12" fillId="5" borderId="15" xfId="0" applyFont="1" applyFill="1" applyBorder="1" applyAlignment="1">
      <alignment vertical="center"/>
    </xf>
    <xf numFmtId="0" fontId="12" fillId="5" borderId="12" xfId="0" applyFont="1" applyFill="1" applyBorder="1" applyAlignment="1">
      <alignment vertical="center"/>
    </xf>
    <xf numFmtId="0" fontId="11" fillId="5" borderId="6" xfId="18" applyFont="1" applyFill="1" applyBorder="1" applyAlignment="1">
      <alignment horizontal="center" vertical="center"/>
    </xf>
    <xf numFmtId="0" fontId="12" fillId="5" borderId="7" xfId="18" applyFont="1" applyFill="1" applyBorder="1" applyAlignment="1">
      <alignment vertical="center" wrapText="1"/>
    </xf>
    <xf numFmtId="0" fontId="11" fillId="5" borderId="4" xfId="18" applyFont="1" applyFill="1" applyBorder="1" applyAlignment="1">
      <alignment vertical="center" wrapText="1"/>
    </xf>
    <xf numFmtId="164" fontId="11" fillId="5" borderId="4" xfId="73" applyFont="1" applyFill="1" applyBorder="1" applyAlignment="1">
      <alignment vertical="center" wrapText="1"/>
    </xf>
    <xf numFmtId="0" fontId="12" fillId="5" borderId="6" xfId="18" applyFont="1" applyFill="1" applyBorder="1" applyAlignment="1">
      <alignment horizontal="center" vertical="center"/>
    </xf>
    <xf numFmtId="164" fontId="12" fillId="5" borderId="4" xfId="73" applyFont="1" applyFill="1" applyBorder="1" applyAlignment="1">
      <alignment vertical="center" wrapText="1"/>
    </xf>
    <xf numFmtId="0" fontId="12" fillId="5" borderId="4" xfId="0" applyFont="1" applyFill="1" applyBorder="1" applyAlignment="1">
      <alignment vertical="center" wrapText="1"/>
    </xf>
    <xf numFmtId="2" fontId="12" fillId="5" borderId="4" xfId="0" applyNumberFormat="1" applyFont="1" applyFill="1" applyBorder="1" applyAlignment="1">
      <alignment horizontal="right" vertical="center" wrapText="1"/>
    </xf>
    <xf numFmtId="10" fontId="12" fillId="5" borderId="4" xfId="59" applyNumberFormat="1" applyFont="1" applyFill="1" applyBorder="1" applyAlignment="1">
      <alignment horizontal="right" vertical="center" wrapText="1"/>
    </xf>
    <xf numFmtId="10" fontId="12" fillId="5" borderId="4" xfId="59" applyNumberFormat="1" applyFont="1" applyFill="1" applyBorder="1" applyAlignment="1">
      <alignment horizontal="right" vertical="center"/>
    </xf>
    <xf numFmtId="2" fontId="60" fillId="5" borderId="4" xfId="0" applyNumberFormat="1" applyFont="1" applyFill="1" applyBorder="1" applyAlignment="1">
      <alignment horizontal="right" vertical="center"/>
    </xf>
    <xf numFmtId="164" fontId="14" fillId="5" borderId="4" xfId="73" applyFont="1" applyFill="1" applyBorder="1" applyAlignment="1">
      <alignment horizontal="right" vertical="center"/>
    </xf>
    <xf numFmtId="0" fontId="11" fillId="0" borderId="4" xfId="0" applyFont="1" applyBorder="1" applyAlignment="1">
      <alignment horizontal="left" wrapText="1"/>
    </xf>
    <xf numFmtId="4" fontId="42" fillId="5" borderId="4" xfId="0" applyNumberFormat="1" applyFont="1" applyFill="1" applyBorder="1" applyAlignment="1">
      <alignment horizontal="right" vertical="center"/>
    </xf>
    <xf numFmtId="164" fontId="40" fillId="5" borderId="4" xfId="73" applyFont="1" applyFill="1" applyBorder="1" applyAlignment="1">
      <alignment horizontal="right" vertical="center"/>
    </xf>
    <xf numFmtId="4" fontId="40" fillId="5" borderId="4" xfId="0" applyNumberFormat="1" applyFont="1" applyFill="1" applyBorder="1" applyAlignment="1">
      <alignment horizontal="right" vertical="center"/>
    </xf>
    <xf numFmtId="0" fontId="14" fillId="8" borderId="6" xfId="18" applyFont="1" applyFill="1" applyBorder="1" applyAlignment="1">
      <alignment horizontal="center"/>
    </xf>
    <xf numFmtId="0" fontId="10" fillId="20" borderId="0" xfId="0" applyFont="1" applyFill="1"/>
    <xf numFmtId="0" fontId="10" fillId="0" borderId="11" xfId="0" applyFont="1" applyBorder="1" applyAlignment="1">
      <alignment horizontal="right"/>
    </xf>
    <xf numFmtId="0" fontId="59" fillId="0" borderId="0" xfId="0" applyFont="1" applyAlignment="1">
      <alignment horizontal="center"/>
    </xf>
    <xf numFmtId="0" fontId="14" fillId="8" borderId="12" xfId="18" applyFont="1" applyFill="1" applyBorder="1" applyAlignment="1">
      <alignment horizontal="center"/>
    </xf>
    <xf numFmtId="0" fontId="14" fillId="8" borderId="3" xfId="0" applyFont="1" applyFill="1" applyBorder="1" applyAlignment="1">
      <alignment horizontal="center" vertical="center" wrapText="1"/>
    </xf>
    <xf numFmtId="0" fontId="14" fillId="8" borderId="6" xfId="109" applyFont="1" applyFill="1" applyBorder="1" applyAlignment="1">
      <alignment horizontal="center" vertical="center" wrapText="1"/>
    </xf>
    <xf numFmtId="0" fontId="0" fillId="0" borderId="0" xfId="0" applyAlignment="1">
      <alignment horizontal="right"/>
    </xf>
    <xf numFmtId="0" fontId="12" fillId="0" borderId="0" xfId="0" applyFont="1" applyAlignment="1">
      <alignment wrapText="1"/>
    </xf>
    <xf numFmtId="0" fontId="10" fillId="0" borderId="0" xfId="18" applyFont="1" applyAlignment="1">
      <alignment horizontal="right" indent="1"/>
    </xf>
    <xf numFmtId="0" fontId="10" fillId="0" borderId="19" xfId="0" applyFont="1" applyBorder="1"/>
    <xf numFmtId="0" fontId="10" fillId="0" borderId="19" xfId="0" applyFont="1" applyBorder="1" applyAlignment="1">
      <alignment horizontal="center"/>
    </xf>
    <xf numFmtId="0" fontId="71" fillId="0" borderId="4" xfId="0" applyFont="1" applyBorder="1" applyAlignment="1">
      <alignment vertical="center"/>
    </xf>
    <xf numFmtId="0" fontId="71" fillId="0" borderId="4" xfId="0" applyFont="1" applyBorder="1" applyAlignment="1">
      <alignment horizontal="center" vertical="center"/>
    </xf>
    <xf numFmtId="2" fontId="72" fillId="0" borderId="4" xfId="0" applyNumberFormat="1" applyFont="1" applyBorder="1" applyAlignment="1">
      <alignment horizontal="center" vertical="center"/>
    </xf>
    <xf numFmtId="10" fontId="72" fillId="0" borderId="4" xfId="59" applyNumberFormat="1" applyFont="1" applyFill="1" applyBorder="1" applyAlignment="1">
      <alignment horizontal="center" vertical="center"/>
    </xf>
    <xf numFmtId="2" fontId="72" fillId="0" borderId="0" xfId="0" applyNumberFormat="1" applyFont="1" applyAlignment="1">
      <alignment horizontal="center" vertical="center"/>
    </xf>
    <xf numFmtId="2" fontId="72" fillId="0" borderId="0" xfId="73" applyNumberFormat="1" applyFont="1" applyBorder="1" applyAlignment="1">
      <alignment horizontal="center" vertical="center"/>
    </xf>
    <xf numFmtId="10" fontId="72" fillId="0" borderId="0" xfId="59" applyNumberFormat="1" applyFont="1" applyFill="1" applyBorder="1" applyAlignment="1">
      <alignment horizontal="center" vertical="center"/>
    </xf>
    <xf numFmtId="0" fontId="10" fillId="0" borderId="0" xfId="106" applyFont="1" applyAlignment="1">
      <alignment vertical="center" wrapText="1"/>
    </xf>
    <xf numFmtId="0" fontId="13" fillId="4" borderId="0" xfId="18" applyFont="1" applyFill="1" applyAlignment="1">
      <alignment wrapText="1"/>
    </xf>
    <xf numFmtId="0" fontId="14" fillId="0" borderId="0" xfId="91" applyFont="1" applyAlignment="1">
      <alignment horizontal="center" vertical="center" wrapText="1"/>
    </xf>
    <xf numFmtId="0" fontId="10" fillId="5" borderId="0" xfId="91" applyFont="1" applyFill="1" applyAlignment="1">
      <alignment vertical="center" wrapText="1"/>
    </xf>
    <xf numFmtId="164" fontId="10" fillId="0" borderId="4" xfId="73" applyFont="1" applyFill="1" applyBorder="1" applyAlignment="1">
      <alignment horizontal="center" vertical="center"/>
    </xf>
    <xf numFmtId="2" fontId="10" fillId="0" borderId="4" xfId="0" applyNumberFormat="1" applyFont="1" applyBorder="1" applyAlignment="1">
      <alignment horizontal="center" vertical="center"/>
    </xf>
    <xf numFmtId="0" fontId="11" fillId="5" borderId="4" xfId="0" applyFont="1" applyFill="1" applyBorder="1" applyAlignment="1">
      <alignment horizontal="left" vertical="center" wrapText="1"/>
    </xf>
    <xf numFmtId="0" fontId="10" fillId="0" borderId="14" xfId="57" applyFont="1" applyBorder="1" applyAlignment="1">
      <alignment vertical="center" wrapText="1"/>
    </xf>
    <xf numFmtId="164" fontId="14" fillId="0" borderId="4" xfId="73" applyFont="1" applyBorder="1" applyAlignment="1">
      <alignment horizontal="left"/>
    </xf>
    <xf numFmtId="164" fontId="0" fillId="0" borderId="4" xfId="73" applyFont="1" applyBorder="1"/>
    <xf numFmtId="43" fontId="0" fillId="0" borderId="4" xfId="0" applyNumberFormat="1" applyBorder="1" applyAlignment="1">
      <alignment vertical="center"/>
    </xf>
    <xf numFmtId="164" fontId="0" fillId="0" borderId="0" xfId="73" applyFont="1"/>
    <xf numFmtId="164" fontId="0" fillId="0" borderId="4" xfId="73" applyFont="1" applyBorder="1" applyAlignment="1">
      <alignment vertical="center"/>
    </xf>
    <xf numFmtId="164" fontId="0" fillId="0" borderId="0" xfId="0" applyNumberFormat="1"/>
    <xf numFmtId="0" fontId="45" fillId="0" borderId="4" xfId="0" applyFont="1" applyBorder="1" applyAlignment="1">
      <alignment vertical="center"/>
    </xf>
    <xf numFmtId="0" fontId="14" fillId="8" borderId="4" xfId="0" applyFont="1" applyFill="1" applyBorder="1" applyAlignment="1">
      <alignment horizontal="center" wrapText="1"/>
    </xf>
    <xf numFmtId="164" fontId="11" fillId="0" borderId="4" xfId="73" applyFont="1" applyBorder="1" applyAlignment="1"/>
    <xf numFmtId="0" fontId="46" fillId="33" borderId="4" xfId="0" applyFont="1" applyFill="1" applyBorder="1" applyAlignment="1">
      <alignment horizontal="center" vertical="center" wrapText="1"/>
    </xf>
    <xf numFmtId="0" fontId="46" fillId="15" borderId="4" xfId="0" applyFont="1" applyFill="1" applyBorder="1" applyAlignment="1">
      <alignment horizontal="center" vertical="center" wrapText="1"/>
    </xf>
    <xf numFmtId="0" fontId="61" fillId="0" borderId="0" xfId="18" applyFont="1"/>
    <xf numFmtId="0" fontId="61" fillId="0" borderId="0" xfId="106" applyFont="1" applyAlignment="1">
      <alignment horizontal="center" vertical="center"/>
    </xf>
    <xf numFmtId="0" fontId="62" fillId="0" borderId="0" xfId="76" applyFont="1" applyAlignment="1">
      <alignment horizontal="center"/>
    </xf>
    <xf numFmtId="0" fontId="10" fillId="5" borderId="4" xfId="18" applyFont="1" applyFill="1" applyBorder="1" applyAlignment="1">
      <alignment horizontal="left"/>
    </xf>
    <xf numFmtId="49" fontId="14" fillId="0" borderId="4" xfId="0" applyNumberFormat="1" applyFont="1" applyBorder="1" applyAlignment="1">
      <alignment horizontal="center" vertical="center" wrapText="1"/>
    </xf>
    <xf numFmtId="0" fontId="12" fillId="0" borderId="0" xfId="0" applyFont="1" applyAlignment="1">
      <alignment horizontal="justify" wrapText="1"/>
    </xf>
    <xf numFmtId="0" fontId="14" fillId="8" borderId="15" xfId="13" applyFont="1" applyFill="1" applyBorder="1" applyAlignment="1">
      <alignment horizontal="center" vertical="center" wrapText="1"/>
    </xf>
    <xf numFmtId="0" fontId="14" fillId="8" borderId="7" xfId="13" applyFont="1" applyFill="1" applyBorder="1" applyAlignment="1">
      <alignment horizontal="center" vertical="center" wrapText="1"/>
    </xf>
    <xf numFmtId="0" fontId="14" fillId="8" borderId="17" xfId="13" applyFont="1" applyFill="1" applyBorder="1" applyAlignment="1">
      <alignment horizontal="center" vertical="center" wrapText="1"/>
    </xf>
    <xf numFmtId="0" fontId="14" fillId="8" borderId="15" xfId="109" applyFont="1" applyFill="1" applyBorder="1" applyAlignment="1">
      <alignment horizontal="center" vertical="center" wrapText="1"/>
    </xf>
    <xf numFmtId="0" fontId="0" fillId="0" borderId="0" xfId="0" applyAlignment="1">
      <alignment horizontal="justify" vertical="center" wrapText="1"/>
    </xf>
    <xf numFmtId="0" fontId="13" fillId="4" borderId="0" xfId="0" applyFont="1" applyFill="1" applyAlignment="1">
      <alignment vertical="center"/>
    </xf>
    <xf numFmtId="0" fontId="14" fillId="4" borderId="0" xfId="0" applyFont="1" applyFill="1" applyAlignment="1">
      <alignment horizontal="center" vertical="center"/>
    </xf>
    <xf numFmtId="0" fontId="10" fillId="0" borderId="0" xfId="0" applyFont="1" applyAlignment="1">
      <alignment vertical="center"/>
    </xf>
    <xf numFmtId="0" fontId="10" fillId="0" borderId="0" xfId="0" applyFont="1" applyAlignment="1">
      <alignment horizontal="justify" vertical="center" wrapText="1"/>
    </xf>
    <xf numFmtId="0" fontId="10" fillId="0" borderId="0" xfId="0" applyFont="1" applyAlignment="1">
      <alignment horizontal="right" vertical="center"/>
    </xf>
    <xf numFmtId="49" fontId="10" fillId="0" borderId="4" xfId="0" applyNumberFormat="1" applyFont="1" applyBorder="1" applyAlignment="1">
      <alignment horizontal="center" vertical="center" wrapText="1"/>
    </xf>
    <xf numFmtId="1" fontId="10" fillId="0" borderId="4" xfId="0" applyNumberFormat="1" applyFont="1" applyBorder="1" applyAlignment="1">
      <alignment horizontal="justify" vertical="center" wrapText="1"/>
    </xf>
    <xf numFmtId="164" fontId="10" fillId="5" borderId="4" xfId="73" applyFont="1" applyFill="1" applyBorder="1" applyAlignment="1">
      <alignment horizontal="right" vertical="center" wrapText="1"/>
    </xf>
    <xf numFmtId="1" fontId="14" fillId="0" borderId="4" xfId="0" applyNumberFormat="1" applyFont="1" applyBorder="1" applyAlignment="1">
      <alignment horizontal="left" vertical="center" wrapText="1"/>
    </xf>
    <xf numFmtId="164" fontId="14" fillId="19" borderId="4" xfId="73" applyFont="1" applyFill="1" applyBorder="1" applyAlignment="1">
      <alignment horizontal="center" vertical="center" wrapText="1"/>
    </xf>
    <xf numFmtId="164" fontId="10" fillId="5" borderId="4" xfId="73" applyFont="1" applyFill="1" applyBorder="1" applyAlignment="1">
      <alignment horizontal="justify" vertical="center" wrapText="1"/>
    </xf>
    <xf numFmtId="1" fontId="14" fillId="0" borderId="4" xfId="0" applyNumberFormat="1" applyFont="1" applyBorder="1" applyAlignment="1">
      <alignment horizontal="justify" vertical="center" wrapText="1"/>
    </xf>
    <xf numFmtId="1" fontId="13" fillId="0" borderId="4" xfId="0" applyNumberFormat="1" applyFont="1" applyBorder="1" applyAlignment="1">
      <alignment horizontal="justify" vertical="center" wrapText="1"/>
    </xf>
    <xf numFmtId="164" fontId="0" fillId="5" borderId="4" xfId="73" applyFont="1" applyFill="1" applyBorder="1" applyAlignment="1">
      <alignment horizontal="center" vertical="center"/>
    </xf>
    <xf numFmtId="49" fontId="10" fillId="0" borderId="4" xfId="0" quotePrefix="1" applyNumberFormat="1" applyFont="1" applyBorder="1" applyAlignment="1">
      <alignment horizontal="center" vertical="center" wrapText="1"/>
    </xf>
    <xf numFmtId="1" fontId="10" fillId="0" borderId="4" xfId="0" quotePrefix="1" applyNumberFormat="1" applyFont="1" applyBorder="1" applyAlignment="1">
      <alignment horizontal="justify" vertical="center" wrapText="1"/>
    </xf>
    <xf numFmtId="49" fontId="10" fillId="0" borderId="4" xfId="0" applyNumberFormat="1" applyFont="1" applyBorder="1" applyAlignment="1">
      <alignment horizontal="justify" vertical="center" wrapText="1"/>
    </xf>
    <xf numFmtId="49" fontId="10" fillId="0" borderId="4" xfId="0" quotePrefix="1" applyNumberFormat="1" applyFont="1" applyBorder="1" applyAlignment="1">
      <alignment horizontal="justify" vertical="center" wrapText="1"/>
    </xf>
    <xf numFmtId="164" fontId="10" fillId="5" borderId="4" xfId="73" applyFont="1" applyFill="1" applyBorder="1" applyAlignment="1">
      <alignment horizontal="right" vertical="center"/>
    </xf>
    <xf numFmtId="164" fontId="10" fillId="0" borderId="4" xfId="73" applyFont="1" applyFill="1" applyBorder="1" applyAlignment="1">
      <alignment horizontal="left" vertical="center"/>
    </xf>
    <xf numFmtId="0" fontId="14" fillId="0" borderId="0" xfId="18" applyFont="1" applyAlignment="1">
      <alignment horizontal="left" wrapText="1"/>
    </xf>
    <xf numFmtId="0" fontId="10" fillId="0" borderId="0" xfId="13" applyFont="1" applyAlignment="1">
      <alignment horizontal="justify" wrapText="1"/>
    </xf>
    <xf numFmtId="164" fontId="14" fillId="0" borderId="4" xfId="73" applyFont="1" applyBorder="1" applyAlignment="1">
      <alignment vertical="justify" wrapText="1"/>
    </xf>
    <xf numFmtId="164" fontId="0" fillId="20" borderId="0" xfId="0" applyNumberFormat="1" applyFill="1"/>
    <xf numFmtId="164" fontId="10" fillId="0" borderId="4" xfId="73" applyFont="1" applyFill="1" applyBorder="1" applyAlignment="1">
      <alignment horizontal="left"/>
    </xf>
    <xf numFmtId="164" fontId="10" fillId="0" borderId="4" xfId="73" applyFont="1" applyFill="1" applyBorder="1" applyAlignment="1">
      <alignment horizontal="right"/>
    </xf>
    <xf numFmtId="164" fontId="10" fillId="0" borderId="4" xfId="73" applyFont="1" applyFill="1" applyBorder="1" applyAlignment="1">
      <alignment horizontal="right" vertical="center"/>
    </xf>
    <xf numFmtId="164" fontId="10" fillId="0" borderId="4" xfId="0" applyNumberFormat="1" applyFont="1" applyBorder="1" applyAlignment="1">
      <alignment horizontal="left"/>
    </xf>
    <xf numFmtId="10" fontId="10" fillId="0" borderId="4" xfId="59" applyNumberFormat="1" applyFont="1" applyFill="1" applyBorder="1" applyAlignment="1">
      <alignment horizontal="right"/>
    </xf>
    <xf numFmtId="10" fontId="0" fillId="0" borderId="0" xfId="0" applyNumberFormat="1"/>
    <xf numFmtId="169" fontId="10" fillId="0" borderId="4" xfId="59" applyNumberFormat="1" applyFont="1" applyFill="1" applyBorder="1"/>
    <xf numFmtId="164" fontId="14" fillId="0" borderId="4" xfId="73" applyFont="1" applyFill="1" applyBorder="1" applyAlignment="1">
      <alignment vertical="center"/>
    </xf>
    <xf numFmtId="164" fontId="10" fillId="0" borderId="4" xfId="73" applyFont="1" applyFill="1" applyBorder="1"/>
    <xf numFmtId="3" fontId="58" fillId="0" borderId="0" xfId="0" applyNumberFormat="1" applyFont="1" applyAlignment="1">
      <alignment vertical="center"/>
    </xf>
    <xf numFmtId="0" fontId="59" fillId="17" borderId="4" xfId="0" applyFont="1" applyFill="1" applyBorder="1" applyAlignment="1">
      <alignment horizontal="center" vertical="center" wrapText="1"/>
    </xf>
    <xf numFmtId="0" fontId="58" fillId="0" borderId="4" xfId="0" applyFont="1" applyBorder="1" applyAlignment="1">
      <alignment vertical="center"/>
    </xf>
    <xf numFmtId="0" fontId="58" fillId="0" borderId="4" xfId="0" applyFont="1" applyBorder="1" applyAlignment="1">
      <alignment vertical="center" wrapText="1"/>
    </xf>
    <xf numFmtId="43" fontId="58" fillId="0" borderId="4" xfId="123" applyFont="1" applyBorder="1" applyAlignment="1">
      <alignment vertical="center"/>
    </xf>
    <xf numFmtId="0" fontId="59" fillId="32" borderId="4" xfId="0" applyFont="1" applyFill="1" applyBorder="1" applyAlignment="1">
      <alignment vertical="center"/>
    </xf>
    <xf numFmtId="0" fontId="58" fillId="32" borderId="4" xfId="0" applyFont="1" applyFill="1" applyBorder="1" applyAlignment="1">
      <alignment vertical="center"/>
    </xf>
    <xf numFmtId="43" fontId="59" fillId="32" borderId="4" xfId="123" applyFont="1" applyFill="1" applyBorder="1" applyAlignment="1">
      <alignment vertical="center"/>
    </xf>
    <xf numFmtId="183" fontId="59" fillId="32" borderId="4" xfId="123" applyNumberFormat="1" applyFont="1" applyFill="1" applyBorder="1" applyAlignment="1">
      <alignment vertical="center"/>
    </xf>
    <xf numFmtId="184" fontId="59" fillId="32" borderId="4" xfId="123" applyNumberFormat="1" applyFont="1" applyFill="1" applyBorder="1" applyAlignment="1">
      <alignment vertical="center"/>
    </xf>
    <xf numFmtId="43" fontId="59" fillId="0" borderId="4" xfId="123" applyFont="1" applyBorder="1" applyAlignment="1">
      <alignment vertical="center"/>
    </xf>
    <xf numFmtId="10" fontId="58" fillId="0" borderId="4" xfId="59" applyNumberFormat="1" applyFont="1" applyBorder="1" applyAlignment="1">
      <alignment vertical="center"/>
    </xf>
    <xf numFmtId="43" fontId="58" fillId="0" borderId="0" xfId="123" applyFont="1" applyBorder="1" applyAlignment="1">
      <alignment vertical="center"/>
    </xf>
    <xf numFmtId="0" fontId="58" fillId="0" borderId="0" xfId="0" applyFont="1" applyAlignment="1">
      <alignment horizontal="center" vertical="center"/>
    </xf>
    <xf numFmtId="164" fontId="58" fillId="0" borderId="4" xfId="73" applyFont="1" applyBorder="1" applyAlignment="1">
      <alignment vertical="center"/>
    </xf>
    <xf numFmtId="164" fontId="59" fillId="32" borderId="4" xfId="73" applyFont="1" applyFill="1" applyBorder="1" applyAlignment="1">
      <alignment vertical="center"/>
    </xf>
    <xf numFmtId="164" fontId="58" fillId="0" borderId="0" xfId="73" applyFont="1" applyAlignment="1">
      <alignment vertical="center"/>
    </xf>
    <xf numFmtId="164" fontId="59" fillId="5" borderId="4" xfId="73" applyFont="1" applyFill="1" applyBorder="1" applyAlignment="1">
      <alignment vertical="center"/>
    </xf>
    <xf numFmtId="164" fontId="58" fillId="20" borderId="4" xfId="73" applyFont="1" applyFill="1" applyBorder="1" applyAlignment="1">
      <alignment vertical="center"/>
    </xf>
    <xf numFmtId="164" fontId="59" fillId="0" borderId="4" xfId="73" applyFont="1" applyBorder="1" applyAlignment="1">
      <alignment vertical="center"/>
    </xf>
    <xf numFmtId="0" fontId="59" fillId="17" borderId="4" xfId="0" applyFont="1" applyFill="1" applyBorder="1" applyAlignment="1">
      <alignment vertical="center" wrapText="1"/>
    </xf>
    <xf numFmtId="164" fontId="58" fillId="0" borderId="4" xfId="73" applyFont="1" applyFill="1" applyBorder="1" applyAlignment="1">
      <alignment vertical="center"/>
    </xf>
    <xf numFmtId="0" fontId="61" fillId="0" borderId="4" xfId="0" applyFont="1" applyBorder="1" applyAlignment="1">
      <alignment vertical="center"/>
    </xf>
    <xf numFmtId="0" fontId="61" fillId="0" borderId="4" xfId="0" applyFont="1" applyBorder="1" applyAlignment="1">
      <alignment vertical="center" wrapText="1"/>
    </xf>
    <xf numFmtId="0" fontId="62" fillId="0" borderId="4" xfId="0" applyFont="1" applyBorder="1" applyAlignment="1">
      <alignment vertical="center"/>
    </xf>
    <xf numFmtId="0" fontId="62" fillId="0" borderId="4" xfId="0" applyFont="1" applyBorder="1" applyAlignment="1">
      <alignment vertical="center" wrapText="1"/>
    </xf>
    <xf numFmtId="0" fontId="61" fillId="0" borderId="0" xfId="0" applyFont="1" applyAlignment="1">
      <alignment vertical="center"/>
    </xf>
    <xf numFmtId="0" fontId="61" fillId="0" borderId="0" xfId="0" applyFont="1" applyAlignment="1">
      <alignment vertical="center" wrapText="1"/>
    </xf>
    <xf numFmtId="43" fontId="58" fillId="0" borderId="4" xfId="123" applyFont="1" applyBorder="1" applyAlignment="1">
      <alignment vertical="center" wrapText="1"/>
    </xf>
    <xf numFmtId="10" fontId="58" fillId="0" borderId="4" xfId="59" applyNumberFormat="1" applyFont="1" applyBorder="1" applyAlignment="1">
      <alignment vertical="center" wrapText="1"/>
    </xf>
    <xf numFmtId="0" fontId="58" fillId="20" borderId="4" xfId="0" applyFont="1" applyFill="1" applyBorder="1" applyAlignment="1">
      <alignment vertical="center" wrapText="1"/>
    </xf>
    <xf numFmtId="43" fontId="58" fillId="21" borderId="4" xfId="123" applyFont="1" applyFill="1" applyBorder="1" applyAlignment="1">
      <alignment vertical="center" wrapText="1"/>
    </xf>
    <xf numFmtId="43" fontId="59" fillId="21" borderId="4" xfId="123" applyFont="1" applyFill="1" applyBorder="1" applyAlignment="1">
      <alignment vertical="center" wrapText="1"/>
    </xf>
    <xf numFmtId="0" fontId="59" fillId="0" borderId="4" xfId="0" applyFont="1" applyBorder="1" applyAlignment="1">
      <alignment vertical="center" wrapText="1"/>
    </xf>
    <xf numFmtId="10" fontId="58" fillId="0" borderId="4" xfId="0" applyNumberFormat="1" applyFont="1" applyBorder="1" applyAlignment="1">
      <alignment vertical="center" wrapText="1"/>
    </xf>
    <xf numFmtId="43" fontId="59" fillId="21" borderId="4" xfId="0" applyNumberFormat="1" applyFont="1" applyFill="1" applyBorder="1" applyAlignment="1">
      <alignment vertical="center" wrapText="1"/>
    </xf>
    <xf numFmtId="10" fontId="62" fillId="21" borderId="4" xfId="59" applyNumberFormat="1" applyFont="1" applyFill="1" applyBorder="1" applyAlignment="1">
      <alignment vertical="center"/>
    </xf>
    <xf numFmtId="43" fontId="58" fillId="21" borderId="4" xfId="0" applyNumberFormat="1" applyFont="1" applyFill="1" applyBorder="1" applyAlignment="1">
      <alignment vertical="center" wrapText="1"/>
    </xf>
    <xf numFmtId="164" fontId="11" fillId="0" borderId="4" xfId="73" applyFont="1" applyBorder="1"/>
    <xf numFmtId="168" fontId="11" fillId="0" borderId="4" xfId="73" applyNumberFormat="1" applyFont="1" applyBorder="1"/>
    <xf numFmtId="10" fontId="12" fillId="0" borderId="4" xfId="59" applyNumberFormat="1" applyFont="1" applyBorder="1"/>
    <xf numFmtId="168" fontId="11" fillId="0" borderId="4" xfId="73" applyNumberFormat="1" applyFont="1" applyBorder="1" applyAlignment="1">
      <alignment horizontal="right" vertical="center"/>
    </xf>
    <xf numFmtId="164" fontId="12" fillId="0" borderId="4" xfId="73" applyFont="1" applyBorder="1"/>
    <xf numFmtId="185" fontId="12" fillId="0" borderId="4" xfId="73" applyNumberFormat="1" applyFont="1" applyBorder="1"/>
    <xf numFmtId="185" fontId="11" fillId="0" borderId="4" xfId="73" applyNumberFormat="1" applyFont="1" applyBorder="1"/>
    <xf numFmtId="185" fontId="11" fillId="0" borderId="4" xfId="73" applyNumberFormat="1" applyFont="1" applyBorder="1" applyAlignment="1">
      <alignment horizontal="right" vertical="center"/>
    </xf>
    <xf numFmtId="168" fontId="12" fillId="0" borderId="4" xfId="73" applyNumberFormat="1" applyFont="1" applyBorder="1"/>
    <xf numFmtId="185" fontId="10" fillId="0" borderId="4" xfId="73" applyNumberFormat="1" applyFont="1" applyBorder="1" applyAlignment="1">
      <alignment horizontal="left"/>
    </xf>
    <xf numFmtId="185" fontId="14" fillId="0" borderId="4" xfId="0" applyNumberFormat="1" applyFont="1" applyBorder="1"/>
    <xf numFmtId="164" fontId="10" fillId="0" borderId="4" xfId="73" applyFont="1" applyBorder="1" applyAlignment="1">
      <alignment horizontal="left"/>
    </xf>
    <xf numFmtId="43" fontId="10" fillId="0" borderId="4" xfId="0" applyNumberFormat="1" applyFont="1" applyBorder="1"/>
    <xf numFmtId="164" fontId="14" fillId="0" borderId="4" xfId="0" applyNumberFormat="1" applyFont="1" applyBorder="1" applyAlignment="1">
      <alignment horizontal="left"/>
    </xf>
    <xf numFmtId="43" fontId="14" fillId="0" borderId="4" xfId="0" applyNumberFormat="1" applyFont="1" applyBorder="1" applyAlignment="1">
      <alignment horizontal="left"/>
    </xf>
    <xf numFmtId="43" fontId="10" fillId="0" borderId="4" xfId="0" applyNumberFormat="1" applyFont="1" applyBorder="1" applyAlignment="1">
      <alignment horizontal="left"/>
    </xf>
    <xf numFmtId="164" fontId="10" fillId="0" borderId="0" xfId="73" applyFont="1"/>
    <xf numFmtId="164" fontId="10" fillId="0" borderId="0" xfId="0" applyNumberFormat="1" applyFont="1"/>
    <xf numFmtId="43" fontId="10" fillId="0" borderId="0" xfId="0" applyNumberFormat="1" applyFont="1"/>
    <xf numFmtId="179" fontId="10" fillId="0" borderId="4" xfId="0" applyNumberFormat="1" applyFont="1" applyBorder="1" applyAlignment="1">
      <alignment horizontal="left"/>
    </xf>
    <xf numFmtId="43" fontId="14" fillId="0" borderId="0" xfId="0" applyNumberFormat="1" applyFont="1"/>
    <xf numFmtId="9" fontId="10" fillId="0" borderId="4" xfId="59" applyFont="1" applyBorder="1" applyAlignment="1">
      <alignment vertical="center" wrapText="1"/>
    </xf>
    <xf numFmtId="43" fontId="10" fillId="0" borderId="4" xfId="91" applyNumberFormat="1" applyFont="1" applyBorder="1" applyAlignment="1">
      <alignment vertical="center" wrapText="1"/>
    </xf>
    <xf numFmtId="9" fontId="10" fillId="0" borderId="4" xfId="91" applyNumberFormat="1" applyFont="1" applyBorder="1" applyAlignment="1">
      <alignment vertical="center" wrapText="1"/>
    </xf>
    <xf numFmtId="9" fontId="10" fillId="0" borderId="12" xfId="91" applyNumberFormat="1" applyFont="1" applyBorder="1" applyAlignment="1">
      <alignment vertical="center" wrapText="1"/>
    </xf>
    <xf numFmtId="0" fontId="10" fillId="0" borderId="12" xfId="91" applyFont="1" applyBorder="1" applyAlignment="1">
      <alignment horizontal="center" vertical="center" wrapText="1"/>
    </xf>
    <xf numFmtId="43" fontId="46" fillId="0" borderId="4" xfId="0" applyNumberFormat="1" applyFont="1" applyBorder="1" applyAlignment="1">
      <alignment horizontal="left" vertical="center"/>
    </xf>
    <xf numFmtId="43" fontId="46" fillId="8" borderId="4" xfId="0" applyNumberFormat="1" applyFont="1" applyFill="1" applyBorder="1" applyAlignment="1">
      <alignment horizontal="center" vertical="center" wrapText="1"/>
    </xf>
    <xf numFmtId="185" fontId="0" fillId="0" borderId="4" xfId="73" applyNumberFormat="1" applyFont="1" applyBorder="1"/>
    <xf numFmtId="185" fontId="46" fillId="0" borderId="4" xfId="73" applyNumberFormat="1" applyFont="1" applyBorder="1" applyAlignment="1">
      <alignment horizontal="left" vertical="center"/>
    </xf>
    <xf numFmtId="185" fontId="45" fillId="0" borderId="4" xfId="73" applyNumberFormat="1" applyFont="1" applyBorder="1" applyAlignment="1">
      <alignment horizontal="left" vertical="center"/>
    </xf>
    <xf numFmtId="185" fontId="0" fillId="0" borderId="0" xfId="73" applyNumberFormat="1" applyFont="1"/>
    <xf numFmtId="185" fontId="46" fillId="8" borderId="4" xfId="73" applyNumberFormat="1" applyFont="1" applyFill="1" applyBorder="1" applyAlignment="1">
      <alignment horizontal="center" vertical="center" wrapText="1"/>
    </xf>
    <xf numFmtId="9" fontId="0" fillId="0" borderId="4" xfId="59" applyFont="1" applyBorder="1"/>
    <xf numFmtId="9" fontId="46" fillId="8" borderId="4" xfId="59" applyFont="1" applyFill="1" applyBorder="1" applyAlignment="1">
      <alignment horizontal="center" vertical="center" wrapText="1"/>
    </xf>
    <xf numFmtId="164" fontId="10" fillId="0" borderId="4" xfId="73" applyFont="1" applyBorder="1"/>
    <xf numFmtId="9" fontId="52" fillId="0" borderId="4" xfId="59" applyFont="1" applyBorder="1"/>
    <xf numFmtId="0" fontId="52" fillId="20" borderId="4" xfId="91" applyFont="1" applyFill="1" applyBorder="1"/>
    <xf numFmtId="16" fontId="52" fillId="0" borderId="4" xfId="91" applyNumberFormat="1" applyFont="1" applyBorder="1" applyAlignment="1">
      <alignment horizontal="center"/>
    </xf>
    <xf numFmtId="0" fontId="52" fillId="0" borderId="4" xfId="91" applyFont="1" applyBorder="1" applyAlignment="1">
      <alignment horizontal="center"/>
    </xf>
    <xf numFmtId="2" fontId="52" fillId="0" borderId="4" xfId="91" applyNumberFormat="1" applyFont="1" applyBorder="1"/>
    <xf numFmtId="10" fontId="52" fillId="0" borderId="4" xfId="59" applyNumberFormat="1" applyFont="1" applyBorder="1"/>
    <xf numFmtId="9" fontId="52" fillId="0" borderId="4" xfId="91" applyNumberFormat="1" applyFont="1" applyBorder="1"/>
    <xf numFmtId="2" fontId="40" fillId="0" borderId="4" xfId="0" applyNumberFormat="1" applyFont="1" applyBorder="1"/>
    <xf numFmtId="2" fontId="42" fillId="20" borderId="4" xfId="0" applyNumberFormat="1" applyFont="1" applyFill="1" applyBorder="1"/>
    <xf numFmtId="164" fontId="42" fillId="0" borderId="4" xfId="73" applyFont="1" applyBorder="1"/>
    <xf numFmtId="164" fontId="40" fillId="0" borderId="4" xfId="73" applyFont="1" applyBorder="1"/>
    <xf numFmtId="4" fontId="41" fillId="0" borderId="4" xfId="0" applyNumberFormat="1" applyFont="1" applyBorder="1" applyAlignment="1">
      <alignment horizontal="right" vertical="center" wrapText="1"/>
    </xf>
    <xf numFmtId="0" fontId="0" fillId="6" borderId="4" xfId="0" applyFill="1" applyBorder="1" applyAlignment="1">
      <alignment vertical="center"/>
    </xf>
    <xf numFmtId="0" fontId="57" fillId="0" borderId="0" xfId="0" applyFont="1"/>
    <xf numFmtId="10" fontId="72" fillId="0" borderId="4" xfId="59" applyNumberFormat="1" applyFont="1" applyBorder="1" applyAlignment="1">
      <alignment horizontal="center" vertical="center"/>
    </xf>
    <xf numFmtId="0" fontId="23" fillId="8" borderId="0" xfId="0" applyFont="1" applyFill="1" applyAlignment="1">
      <alignment horizontal="center"/>
    </xf>
    <xf numFmtId="0" fontId="12" fillId="20" borderId="0" xfId="0" applyFont="1" applyFill="1" applyAlignment="1">
      <alignment horizontal="justify" wrapText="1"/>
    </xf>
    <xf numFmtId="0" fontId="12" fillId="20" borderId="0" xfId="0" applyFont="1" applyFill="1" applyAlignment="1">
      <alignment horizontal="justify"/>
    </xf>
    <xf numFmtId="0" fontId="61" fillId="0" borderId="7" xfId="0" applyFont="1" applyBorder="1" applyAlignment="1">
      <alignment horizontal="center" vertical="center" wrapText="1"/>
    </xf>
    <xf numFmtId="0" fontId="61" fillId="0" borderId="4" xfId="0" applyFont="1" applyBorder="1" applyAlignment="1">
      <alignment horizontal="center" vertical="center" wrapText="1"/>
    </xf>
    <xf numFmtId="0" fontId="61" fillId="0" borderId="4" xfId="18" applyFont="1" applyBorder="1" applyAlignment="1">
      <alignment horizontal="center" wrapText="1"/>
    </xf>
    <xf numFmtId="0" fontId="61" fillId="0" borderId="4" xfId="18" applyFont="1" applyBorder="1" applyAlignment="1">
      <alignment horizontal="center" vertical="center"/>
    </xf>
    <xf numFmtId="0" fontId="61" fillId="0" borderId="4" xfId="18" applyFont="1" applyBorder="1" applyAlignment="1">
      <alignment horizontal="center"/>
    </xf>
    <xf numFmtId="0" fontId="62" fillId="0" borderId="7" xfId="0" applyFont="1" applyBorder="1" applyAlignment="1">
      <alignment horizontal="left" vertical="center" wrapText="1"/>
    </xf>
    <xf numFmtId="43" fontId="84" fillId="0" borderId="4" xfId="124" applyFont="1" applyBorder="1" applyAlignment="1">
      <alignment horizontal="center"/>
    </xf>
    <xf numFmtId="43" fontId="85" fillId="0" borderId="4" xfId="124" applyFont="1" applyBorder="1" applyAlignment="1">
      <alignment horizontal="center" vertical="center"/>
    </xf>
    <xf numFmtId="43" fontId="85" fillId="0" borderId="4" xfId="124" applyFont="1" applyFill="1" applyBorder="1" applyAlignment="1">
      <alignment horizontal="center" vertical="center"/>
    </xf>
    <xf numFmtId="43" fontId="85" fillId="0" borderId="4" xfId="124" applyFont="1" applyBorder="1"/>
    <xf numFmtId="43" fontId="61" fillId="19" borderId="4" xfId="0" applyNumberFormat="1" applyFont="1" applyFill="1" applyBorder="1" applyAlignment="1">
      <alignment wrapText="1"/>
    </xf>
    <xf numFmtId="10" fontId="61" fillId="19" borderId="4" xfId="0" applyNumberFormat="1" applyFont="1" applyFill="1" applyBorder="1"/>
    <xf numFmtId="0" fontId="85" fillId="0" borderId="0" xfId="126" applyFont="1"/>
    <xf numFmtId="0" fontId="88" fillId="0" borderId="0" xfId="127" applyFont="1" applyAlignment="1"/>
    <xf numFmtId="0" fontId="89" fillId="0" borderId="0" xfId="127" applyFont="1"/>
    <xf numFmtId="0" fontId="84" fillId="0" borderId="0" xfId="128" applyFont="1"/>
    <xf numFmtId="0" fontId="86" fillId="0" borderId="0" xfId="125"/>
    <xf numFmtId="43" fontId="84" fillId="0" borderId="4" xfId="124" applyFont="1" applyBorder="1"/>
    <xf numFmtId="164" fontId="84" fillId="0" borderId="4" xfId="19" applyFont="1" applyBorder="1"/>
    <xf numFmtId="43" fontId="85" fillId="0" borderId="4" xfId="124" applyFont="1" applyFill="1" applyBorder="1" applyAlignment="1">
      <alignment horizontal="center"/>
    </xf>
    <xf numFmtId="180" fontId="10" fillId="0" borderId="4" xfId="73" applyNumberFormat="1" applyFont="1" applyFill="1" applyBorder="1" applyAlignment="1">
      <alignment horizontal="right" vertical="center" wrapText="1"/>
    </xf>
    <xf numFmtId="164" fontId="10" fillId="0" borderId="4" xfId="73" applyFont="1" applyFill="1" applyBorder="1" applyAlignment="1">
      <alignment horizontal="right" vertical="center" wrapText="1"/>
    </xf>
    <xf numFmtId="164" fontId="10" fillId="0" borderId="4" xfId="73" applyFont="1" applyFill="1" applyBorder="1" applyAlignment="1">
      <alignment vertical="center"/>
    </xf>
    <xf numFmtId="180" fontId="10" fillId="20" borderId="4" xfId="73" applyNumberFormat="1" applyFont="1" applyFill="1" applyBorder="1" applyAlignment="1">
      <alignment horizontal="right" vertical="center" wrapText="1"/>
    </xf>
    <xf numFmtId="10" fontId="10" fillId="0" borderId="4" xfId="59" applyNumberFormat="1" applyFont="1" applyFill="1" applyBorder="1" applyAlignment="1">
      <alignment vertical="center"/>
    </xf>
    <xf numFmtId="164" fontId="13" fillId="0" borderId="0" xfId="73" applyFont="1" applyAlignment="1">
      <alignment horizontal="left" vertical="center"/>
    </xf>
    <xf numFmtId="164" fontId="14" fillId="4" borderId="0" xfId="73" applyFont="1" applyFill="1" applyAlignment="1">
      <alignment horizontal="center"/>
    </xf>
    <xf numFmtId="164" fontId="10" fillId="0" borderId="11" xfId="73" applyFont="1" applyBorder="1" applyAlignment="1">
      <alignment horizontal="center"/>
    </xf>
    <xf numFmtId="164" fontId="14" fillId="8" borderId="4" xfId="73" applyFont="1" applyFill="1" applyBorder="1" applyAlignment="1">
      <alignment horizontal="center" vertical="center" wrapText="1"/>
    </xf>
    <xf numFmtId="164" fontId="11" fillId="0" borderId="0" xfId="73" applyFont="1" applyAlignment="1">
      <alignment horizontal="center"/>
    </xf>
    <xf numFmtId="164" fontId="61" fillId="0" borderId="4" xfId="73" applyFont="1" applyFill="1" applyBorder="1" applyAlignment="1">
      <alignment vertical="justify" wrapText="1"/>
    </xf>
    <xf numFmtId="164" fontId="62" fillId="0" borderId="7" xfId="73" applyFont="1" applyFill="1" applyBorder="1" applyAlignment="1">
      <alignment vertical="center" wrapText="1"/>
    </xf>
    <xf numFmtId="164" fontId="11" fillId="0" borderId="4" xfId="0" applyNumberFormat="1" applyFont="1" applyBorder="1"/>
    <xf numFmtId="0" fontId="14" fillId="4" borderId="0" xfId="18" applyFont="1" applyFill="1" applyAlignment="1">
      <alignment vertical="center"/>
    </xf>
    <xf numFmtId="0" fontId="14" fillId="4" borderId="0" xfId="18" applyFont="1" applyFill="1" applyAlignment="1">
      <alignment horizontal="center" vertical="center"/>
    </xf>
    <xf numFmtId="164" fontId="10" fillId="0" borderId="4" xfId="73" applyFont="1" applyBorder="1" applyAlignment="1">
      <alignment vertical="center"/>
    </xf>
    <xf numFmtId="164" fontId="10" fillId="0" borderId="4" xfId="73" applyFont="1" applyBorder="1" applyAlignment="1">
      <alignment horizontal="left" vertical="center"/>
    </xf>
    <xf numFmtId="0" fontId="59" fillId="5" borderId="4" xfId="76" applyFont="1" applyFill="1" applyBorder="1" applyAlignment="1">
      <alignment vertical="center" wrapText="1"/>
    </xf>
    <xf numFmtId="43" fontId="62" fillId="0" borderId="14" xfId="76" applyNumberFormat="1" applyFont="1" applyBorder="1" applyAlignment="1">
      <alignment vertical="center"/>
    </xf>
    <xf numFmtId="164" fontId="62" fillId="0" borderId="14" xfId="73" applyFont="1" applyBorder="1" applyAlignment="1">
      <alignment vertical="center"/>
    </xf>
    <xf numFmtId="164" fontId="62" fillId="0" borderId="0" xfId="73" applyFont="1" applyAlignment="1">
      <alignment vertical="center"/>
    </xf>
    <xf numFmtId="164" fontId="14" fillId="0" borderId="4" xfId="109" applyNumberFormat="1" applyFont="1" applyBorder="1">
      <alignment vertical="center"/>
    </xf>
    <xf numFmtId="164" fontId="14" fillId="5" borderId="4" xfId="73" applyFont="1" applyFill="1" applyBorder="1" applyAlignment="1">
      <alignment horizontal="left" vertical="center"/>
    </xf>
    <xf numFmtId="164" fontId="14" fillId="0" borderId="4" xfId="73" applyFont="1" applyFill="1" applyBorder="1" applyAlignment="1">
      <alignment vertical="justify" wrapText="1"/>
    </xf>
    <xf numFmtId="164" fontId="10" fillId="0" borderId="6" xfId="73" applyFont="1" applyFill="1" applyBorder="1" applyAlignment="1">
      <alignment horizontal="right"/>
    </xf>
    <xf numFmtId="164" fontId="62" fillId="0" borderId="4" xfId="73" applyFont="1" applyFill="1" applyBorder="1" applyAlignment="1">
      <alignment horizontal="right" vertical="center"/>
    </xf>
    <xf numFmtId="164" fontId="10" fillId="0" borderId="4" xfId="0" applyNumberFormat="1" applyFont="1" applyBorder="1" applyAlignment="1">
      <alignment vertical="justify" wrapText="1"/>
    </xf>
    <xf numFmtId="10" fontId="10" fillId="0" borderId="4" xfId="59" applyNumberFormat="1" applyFont="1" applyFill="1" applyBorder="1" applyAlignment="1">
      <alignment horizontal="center"/>
    </xf>
    <xf numFmtId="10" fontId="10" fillId="0" borderId="4" xfId="0" applyNumberFormat="1" applyFont="1" applyBorder="1" applyAlignment="1">
      <alignment horizontal="center"/>
    </xf>
    <xf numFmtId="164" fontId="14" fillId="0" borderId="4" xfId="73" applyFont="1" applyFill="1" applyBorder="1" applyAlignment="1">
      <alignment horizontal="right"/>
    </xf>
    <xf numFmtId="164" fontId="61" fillId="0" borderId="4" xfId="73" applyFont="1" applyFill="1" applyBorder="1" applyAlignment="1">
      <alignment horizontal="center" vertical="center"/>
    </xf>
    <xf numFmtId="43" fontId="11" fillId="0" borderId="4" xfId="0" applyNumberFormat="1" applyFont="1" applyBorder="1"/>
    <xf numFmtId="164" fontId="62" fillId="0" borderId="4" xfId="73" applyFont="1" applyFill="1" applyBorder="1" applyAlignment="1">
      <alignment horizontal="center" vertical="center"/>
    </xf>
    <xf numFmtId="164" fontId="62" fillId="0" borderId="4" xfId="73" applyFont="1" applyFill="1" applyBorder="1" applyAlignment="1">
      <alignment horizontal="center" vertical="center" wrapText="1"/>
    </xf>
    <xf numFmtId="164" fontId="14" fillId="0" borderId="4" xfId="73" applyFont="1" applyFill="1" applyBorder="1" applyAlignment="1">
      <alignment horizontal="center" vertical="center"/>
    </xf>
    <xf numFmtId="0" fontId="90" fillId="23" borderId="4" xfId="0" applyFont="1" applyFill="1" applyBorder="1" applyAlignment="1">
      <alignment horizontal="center" vertical="center" wrapText="1"/>
    </xf>
    <xf numFmtId="10" fontId="10" fillId="0" borderId="4" xfId="59" applyNumberFormat="1" applyFont="1" applyFill="1" applyBorder="1" applyAlignment="1">
      <alignment horizontal="center" vertical="center" wrapText="1"/>
    </xf>
    <xf numFmtId="10" fontId="62" fillId="0" borderId="4" xfId="59" applyNumberFormat="1" applyFont="1" applyFill="1" applyBorder="1" applyAlignment="1">
      <alignment horizontal="center" vertical="center" wrapText="1"/>
    </xf>
    <xf numFmtId="10" fontId="58" fillId="0" borderId="4" xfId="59" applyNumberFormat="1" applyFont="1" applyFill="1" applyBorder="1" applyAlignment="1">
      <alignment horizontal="center" vertical="center"/>
    </xf>
    <xf numFmtId="10" fontId="11" fillId="0" borderId="4" xfId="59" applyNumberFormat="1" applyFont="1" applyFill="1" applyBorder="1" applyAlignment="1">
      <alignment horizontal="center" vertical="center"/>
    </xf>
    <xf numFmtId="0" fontId="12" fillId="0" borderId="11" xfId="0" applyFont="1" applyBorder="1" applyAlignment="1">
      <alignment horizontal="center" vertical="center"/>
    </xf>
    <xf numFmtId="0" fontId="10" fillId="5" borderId="4" xfId="57" applyFont="1" applyFill="1" applyBorder="1" applyAlignment="1">
      <alignment horizontal="justify" vertical="center" wrapText="1"/>
    </xf>
    <xf numFmtId="0" fontId="12" fillId="5" borderId="4" xfId="0" applyFont="1" applyFill="1" applyBorder="1" applyAlignment="1">
      <alignment horizontal="justify" vertical="center" wrapText="1"/>
    </xf>
    <xf numFmtId="0" fontId="14" fillId="0" borderId="0" xfId="57" applyFont="1" applyAlignment="1">
      <alignment vertical="center"/>
    </xf>
    <xf numFmtId="15" fontId="91" fillId="0" borderId="4" xfId="0" applyNumberFormat="1" applyFont="1" applyBorder="1" applyAlignment="1">
      <alignment vertical="center" wrapText="1"/>
    </xf>
    <xf numFmtId="10" fontId="91" fillId="0" borderId="4" xfId="0" applyNumberFormat="1" applyFont="1" applyBorder="1" applyAlignment="1">
      <alignment vertical="center" wrapText="1"/>
    </xf>
    <xf numFmtId="43" fontId="91" fillId="0" borderId="4" xfId="123" applyFont="1" applyBorder="1" applyAlignment="1">
      <alignment vertical="center" wrapText="1"/>
    </xf>
    <xf numFmtId="0" fontId="90" fillId="17" borderId="4" xfId="0" applyFont="1" applyFill="1" applyBorder="1" applyAlignment="1">
      <alignment horizontal="center" vertical="center" wrapText="1"/>
    </xf>
    <xf numFmtId="10" fontId="90" fillId="17" borderId="4" xfId="59" applyNumberFormat="1" applyFont="1" applyFill="1" applyBorder="1" applyAlignment="1">
      <alignment horizontal="right" vertical="center" wrapText="1"/>
    </xf>
    <xf numFmtId="43" fontId="90" fillId="17" borderId="4" xfId="123" applyFont="1" applyFill="1" applyBorder="1" applyAlignment="1">
      <alignment horizontal="center" vertical="center" wrapText="1"/>
    </xf>
    <xf numFmtId="15" fontId="91" fillId="0" borderId="4" xfId="54" applyNumberFormat="1" applyFont="1" applyBorder="1" applyAlignment="1">
      <alignment vertical="center" wrapText="1"/>
    </xf>
    <xf numFmtId="10" fontId="91" fillId="0" borderId="4" xfId="54" applyNumberFormat="1" applyFont="1" applyBorder="1" applyAlignment="1">
      <alignment vertical="center" wrapText="1"/>
    </xf>
    <xf numFmtId="164" fontId="91" fillId="0" borderId="4" xfId="114" applyFont="1" applyBorder="1" applyAlignment="1">
      <alignment vertical="center" wrapText="1"/>
    </xf>
    <xf numFmtId="0" fontId="90" fillId="17" borderId="4" xfId="54" applyFont="1" applyFill="1" applyBorder="1" applyAlignment="1">
      <alignment horizontal="center" vertical="center" wrapText="1"/>
    </xf>
    <xf numFmtId="10" fontId="90" fillId="17" borderId="4" xfId="20" applyNumberFormat="1" applyFont="1" applyFill="1" applyBorder="1" applyAlignment="1">
      <alignment horizontal="right" vertical="center" wrapText="1"/>
    </xf>
    <xf numFmtId="164" fontId="90" fillId="17" borderId="4" xfId="114" applyFont="1" applyFill="1" applyBorder="1" applyAlignment="1">
      <alignment horizontal="center" vertical="center" wrapText="1"/>
    </xf>
    <xf numFmtId="15" fontId="91" fillId="0" borderId="4" xfId="54" applyNumberFormat="1" applyFont="1" applyBorder="1" applyAlignment="1">
      <alignment horizontal="center" vertical="center" wrapText="1"/>
    </xf>
    <xf numFmtId="14" fontId="91" fillId="0" borderId="4" xfId="54" applyNumberFormat="1" applyFont="1" applyBorder="1" applyAlignment="1">
      <alignment horizontal="center" vertical="center" wrapText="1"/>
    </xf>
    <xf numFmtId="10" fontId="91" fillId="0" borderId="4" xfId="20" applyNumberFormat="1" applyFont="1" applyFill="1" applyBorder="1" applyAlignment="1">
      <alignment horizontal="right" vertical="center" wrapText="1"/>
    </xf>
    <xf numFmtId="10" fontId="91" fillId="20" borderId="4" xfId="20" applyNumberFormat="1" applyFont="1" applyFill="1" applyBorder="1" applyAlignment="1">
      <alignment horizontal="right" vertical="center" wrapText="1"/>
    </xf>
    <xf numFmtId="14" fontId="91" fillId="0" borderId="0" xfId="54" applyNumberFormat="1" applyFont="1" applyAlignment="1">
      <alignment horizontal="center" vertical="center" wrapText="1"/>
    </xf>
    <xf numFmtId="10" fontId="10" fillId="0" borderId="4" xfId="59" applyNumberFormat="1" applyFont="1" applyFill="1" applyBorder="1" applyAlignment="1">
      <alignment horizontal="center" vertical="center"/>
    </xf>
    <xf numFmtId="0" fontId="14" fillId="0" borderId="5" xfId="13" applyFont="1" applyBorder="1" applyAlignment="1">
      <alignment horizontal="center" vertical="center"/>
    </xf>
    <xf numFmtId="0" fontId="14" fillId="0" borderId="4" xfId="13" applyFont="1" applyBorder="1" applyAlignment="1">
      <alignment horizontal="left" vertical="center" wrapText="1"/>
    </xf>
    <xf numFmtId="164" fontId="27" fillId="0" borderId="4" xfId="73" applyFont="1" applyFill="1" applyBorder="1" applyAlignment="1">
      <alignment horizontal="left" vertical="center"/>
    </xf>
    <xf numFmtId="0" fontId="10" fillId="0" borderId="5" xfId="13" applyFont="1" applyBorder="1" applyAlignment="1">
      <alignment horizontal="center" vertical="center"/>
    </xf>
    <xf numFmtId="0" fontId="10" fillId="0" borderId="4" xfId="13" applyFont="1" applyBorder="1" applyAlignment="1">
      <alignment horizontal="left" vertical="center" wrapText="1"/>
    </xf>
    <xf numFmtId="0" fontId="10" fillId="0" borderId="20" xfId="13" applyFont="1" applyBorder="1" applyAlignment="1">
      <alignment horizontal="center" vertical="center"/>
    </xf>
    <xf numFmtId="164" fontId="14" fillId="0" borderId="4" xfId="73" applyFont="1" applyFill="1" applyBorder="1" applyAlignment="1">
      <alignment horizontal="left" vertical="center"/>
    </xf>
    <xf numFmtId="164" fontId="26" fillId="0" borderId="4" xfId="73" applyFont="1" applyFill="1" applyBorder="1" applyAlignment="1">
      <alignment horizontal="left" vertical="center"/>
    </xf>
    <xf numFmtId="0" fontId="14" fillId="0" borderId="20" xfId="13" applyFont="1" applyBorder="1" applyAlignment="1">
      <alignment horizontal="center" vertical="center"/>
    </xf>
    <xf numFmtId="0" fontId="10" fillId="0" borderId="20" xfId="13" applyFont="1" applyBorder="1" applyAlignment="1">
      <alignment horizontal="left" vertical="center"/>
    </xf>
    <xf numFmtId="0" fontId="10" fillId="0" borderId="4" xfId="13" applyFont="1" applyBorder="1" applyAlignment="1">
      <alignment horizontal="left" vertical="center"/>
    </xf>
    <xf numFmtId="164" fontId="14" fillId="0" borderId="4" xfId="73" applyFont="1" applyBorder="1" applyAlignment="1">
      <alignment horizontal="left" vertical="center" wrapText="1"/>
    </xf>
    <xf numFmtId="0" fontId="10" fillId="0" borderId="0" xfId="17" applyFont="1" applyAlignment="1">
      <alignment horizontal="left" vertical="center"/>
    </xf>
    <xf numFmtId="49" fontId="10" fillId="0" borderId="0" xfId="17" applyNumberFormat="1" applyFont="1" applyAlignment="1">
      <alignment vertical="center" wrapText="1"/>
    </xf>
    <xf numFmtId="10" fontId="0" fillId="0" borderId="4" xfId="0" applyNumberFormat="1" applyBorder="1"/>
    <xf numFmtId="43" fontId="58" fillId="0" borderId="0" xfId="0" applyNumberFormat="1" applyFont="1" applyAlignment="1">
      <alignment vertical="center"/>
    </xf>
    <xf numFmtId="10" fontId="10" fillId="0" borderId="4" xfId="59" applyNumberFormat="1" applyFont="1" applyFill="1" applyBorder="1"/>
    <xf numFmtId="164" fontId="52" fillId="0" borderId="4" xfId="73" applyFont="1" applyBorder="1"/>
    <xf numFmtId="0" fontId="10" fillId="0" borderId="4" xfId="13" applyFont="1" applyBorder="1" applyAlignment="1">
      <alignment horizontal="justify" vertical="center" wrapText="1"/>
    </xf>
    <xf numFmtId="10" fontId="10" fillId="0" borderId="4" xfId="59" applyNumberFormat="1" applyFont="1" applyBorder="1" applyAlignment="1">
      <alignment vertical="center"/>
    </xf>
    <xf numFmtId="10" fontId="10" fillId="5" borderId="4" xfId="73" applyNumberFormat="1" applyFont="1" applyFill="1" applyBorder="1" applyAlignment="1">
      <alignment vertical="center"/>
    </xf>
    <xf numFmtId="43" fontId="0" fillId="5" borderId="4" xfId="0" applyNumberFormat="1" applyFill="1" applyBorder="1" applyAlignment="1">
      <alignment horizontal="right" vertical="center"/>
    </xf>
    <xf numFmtId="9" fontId="12" fillId="0" borderId="4" xfId="59" applyFont="1" applyBorder="1"/>
    <xf numFmtId="9" fontId="11" fillId="0" borderId="4" xfId="59" applyFont="1" applyBorder="1"/>
    <xf numFmtId="10" fontId="10" fillId="0" borderId="4" xfId="59" applyNumberFormat="1" applyFont="1" applyBorder="1"/>
    <xf numFmtId="10" fontId="14" fillId="0" borderId="4" xfId="59" applyNumberFormat="1" applyFont="1" applyBorder="1"/>
    <xf numFmtId="164" fontId="46" fillId="0" borderId="4" xfId="73" applyFont="1" applyBorder="1" applyAlignment="1">
      <alignment horizontal="left" vertical="center"/>
    </xf>
    <xf numFmtId="164" fontId="45" fillId="0" borderId="4" xfId="73" applyFont="1" applyBorder="1" applyAlignment="1">
      <alignment horizontal="left" vertical="center"/>
    </xf>
    <xf numFmtId="164" fontId="46" fillId="8" borderId="4" xfId="73" applyFont="1" applyFill="1" applyBorder="1" applyAlignment="1">
      <alignment horizontal="center" vertical="center" wrapText="1"/>
    </xf>
    <xf numFmtId="10" fontId="46" fillId="8" borderId="4" xfId="59" applyNumberFormat="1" applyFont="1" applyFill="1" applyBorder="1" applyAlignment="1">
      <alignment horizontal="center" vertical="center" wrapText="1"/>
    </xf>
    <xf numFmtId="164" fontId="58" fillId="0" borderId="0" xfId="73" applyFont="1" applyFill="1" applyAlignment="1">
      <alignment vertical="center"/>
    </xf>
    <xf numFmtId="43" fontId="0" fillId="0" borderId="4" xfId="123" applyFont="1" applyBorder="1"/>
    <xf numFmtId="43" fontId="58" fillId="0" borderId="4" xfId="123" applyFont="1" applyBorder="1"/>
    <xf numFmtId="43" fontId="58" fillId="0" borderId="4" xfId="123" applyFont="1" applyFill="1" applyBorder="1" applyAlignment="1">
      <alignment vertical="center"/>
    </xf>
    <xf numFmtId="0" fontId="13" fillId="0" borderId="4" xfId="0" applyFont="1" applyBorder="1" applyAlignment="1">
      <alignment vertical="center" wrapText="1"/>
    </xf>
    <xf numFmtId="164" fontId="42" fillId="0" borderId="0" xfId="73" applyFont="1" applyFill="1"/>
    <xf numFmtId="14" fontId="0" fillId="0" borderId="4" xfId="0" applyNumberFormat="1" applyBorder="1" applyAlignment="1">
      <alignment vertical="center"/>
    </xf>
    <xf numFmtId="164" fontId="0" fillId="0" borderId="4" xfId="73" applyFont="1" applyFill="1" applyBorder="1" applyAlignment="1">
      <alignment vertical="center" wrapText="1"/>
    </xf>
    <xf numFmtId="9" fontId="0" fillId="0" borderId="4" xfId="0" applyNumberFormat="1" applyBorder="1" applyAlignment="1">
      <alignment vertical="center" wrapText="1"/>
    </xf>
    <xf numFmtId="164" fontId="42" fillId="0" borderId="0" xfId="73" applyFont="1" applyFill="1" applyBorder="1"/>
    <xf numFmtId="16" fontId="52" fillId="0" borderId="4" xfId="91" quotePrefix="1" applyNumberFormat="1" applyFont="1" applyBorder="1" applyAlignment="1">
      <alignment horizontal="center"/>
    </xf>
    <xf numFmtId="164" fontId="10" fillId="0" borderId="4" xfId="73" applyFont="1" applyFill="1" applyBorder="1" applyAlignment="1">
      <alignment horizontal="center" vertical="center" wrapText="1"/>
    </xf>
    <xf numFmtId="164" fontId="10" fillId="0" borderId="4" xfId="73" applyFont="1" applyFill="1" applyBorder="1" applyAlignment="1">
      <alignment horizontal="left" wrapText="1"/>
    </xf>
    <xf numFmtId="164" fontId="11" fillId="0" borderId="4" xfId="73" applyFont="1" applyFill="1" applyBorder="1" applyAlignment="1">
      <alignment vertical="center"/>
    </xf>
    <xf numFmtId="164" fontId="0" fillId="0" borderId="4" xfId="73" applyFont="1" applyFill="1" applyBorder="1" applyAlignment="1">
      <alignment vertical="center"/>
    </xf>
    <xf numFmtId="164" fontId="14" fillId="0" borderId="4" xfId="73" applyFont="1" applyFill="1" applyBorder="1" applyAlignment="1">
      <alignment horizontal="right" vertical="center"/>
    </xf>
    <xf numFmtId="164" fontId="11" fillId="0" borderId="4" xfId="73" applyFont="1" applyFill="1" applyBorder="1"/>
    <xf numFmtId="164" fontId="10" fillId="0" borderId="4" xfId="73" applyFont="1" applyFill="1" applyBorder="1" applyAlignment="1">
      <alignment horizontal="center" vertical="justify"/>
    </xf>
    <xf numFmtId="164" fontId="0" fillId="0" borderId="4" xfId="73" applyFont="1" applyFill="1" applyBorder="1"/>
    <xf numFmtId="164" fontId="62" fillId="0" borderId="4" xfId="73" applyFont="1" applyFill="1" applyBorder="1" applyAlignment="1">
      <alignment vertical="center"/>
    </xf>
    <xf numFmtId="164" fontId="62" fillId="0" borderId="7" xfId="73" applyFont="1" applyFill="1" applyBorder="1" applyAlignment="1">
      <alignment vertical="center"/>
    </xf>
    <xf numFmtId="164" fontId="61" fillId="0" borderId="4" xfId="73" applyFont="1" applyFill="1" applyBorder="1" applyAlignment="1">
      <alignment vertical="center"/>
    </xf>
    <xf numFmtId="164" fontId="58" fillId="0" borderId="4" xfId="73" applyFont="1" applyFill="1" applyBorder="1"/>
    <xf numFmtId="164" fontId="61" fillId="0" borderId="15" xfId="73" applyFont="1" applyFill="1" applyBorder="1" applyAlignment="1">
      <alignment vertical="center"/>
    </xf>
    <xf numFmtId="0" fontId="62" fillId="5" borderId="4" xfId="76" applyFont="1" applyFill="1" applyBorder="1" applyAlignment="1">
      <alignment vertical="center" wrapText="1"/>
    </xf>
    <xf numFmtId="10" fontId="58" fillId="5" borderId="4" xfId="59" applyNumberFormat="1" applyFont="1" applyFill="1" applyBorder="1"/>
    <xf numFmtId="10" fontId="62" fillId="0" borderId="4" xfId="76" applyNumberFormat="1" applyFont="1" applyBorder="1" applyAlignment="1">
      <alignment vertical="center"/>
    </xf>
    <xf numFmtId="0" fontId="62" fillId="0" borderId="4" xfId="76" applyFont="1" applyBorder="1" applyAlignment="1">
      <alignment vertical="center"/>
    </xf>
    <xf numFmtId="164" fontId="10" fillId="0" borderId="4" xfId="73" applyFont="1" applyFill="1" applyBorder="1" applyAlignment="1">
      <alignment horizontal="justify" vertical="center" wrapText="1"/>
    </xf>
    <xf numFmtId="0" fontId="18" fillId="0" borderId="0" xfId="13" applyFont="1" applyAlignment="1">
      <alignment horizontal="left" vertical="justify"/>
    </xf>
    <xf numFmtId="43" fontId="0" fillId="0" borderId="0" xfId="0" applyNumberFormat="1"/>
    <xf numFmtId="0" fontId="59" fillId="0" borderId="4" xfId="75" applyFont="1" applyBorder="1" applyAlignment="1">
      <alignment horizontal="left" wrapText="1"/>
    </xf>
    <xf numFmtId="164" fontId="10" fillId="0" borderId="4" xfId="73" applyFont="1" applyFill="1" applyBorder="1" applyAlignment="1">
      <alignment horizontal="left" vertical="center" wrapText="1"/>
    </xf>
    <xf numFmtId="164" fontId="59" fillId="0" borderId="4" xfId="75" applyNumberFormat="1" applyFont="1" applyBorder="1" applyAlignment="1">
      <alignment horizontal="left" wrapText="1"/>
    </xf>
    <xf numFmtId="10" fontId="58" fillId="0" borderId="4" xfId="75" applyNumberFormat="1" applyFont="1" applyBorder="1" applyAlignment="1">
      <alignment horizontal="center" wrapText="1"/>
    </xf>
    <xf numFmtId="43" fontId="14" fillId="0" borderId="4" xfId="0" applyNumberFormat="1" applyFont="1" applyBorder="1" applyAlignment="1">
      <alignment vertical="justify" wrapText="1"/>
    </xf>
    <xf numFmtId="43" fontId="10" fillId="0" borderId="4" xfId="0" applyNumberFormat="1" applyFont="1" applyBorder="1" applyAlignment="1">
      <alignment vertical="justify" wrapText="1"/>
    </xf>
    <xf numFmtId="43" fontId="12" fillId="0" borderId="0" xfId="0" applyNumberFormat="1" applyFont="1" applyAlignment="1">
      <alignment vertical="center"/>
    </xf>
    <xf numFmtId="43" fontId="12" fillId="0" borderId="4" xfId="0" applyNumberFormat="1" applyFont="1" applyBorder="1" applyAlignment="1">
      <alignment vertical="center"/>
    </xf>
    <xf numFmtId="164" fontId="12" fillId="0" borderId="4" xfId="73" applyFont="1" applyBorder="1" applyAlignment="1">
      <alignment vertical="center"/>
    </xf>
    <xf numFmtId="10" fontId="47" fillId="0" borderId="4" xfId="59" applyNumberFormat="1" applyFont="1" applyBorder="1" applyAlignment="1">
      <alignment horizontal="right" vertical="center"/>
    </xf>
    <xf numFmtId="4" fontId="0" fillId="0" borderId="4" xfId="0" applyNumberFormat="1" applyBorder="1" applyAlignment="1">
      <alignment horizontal="right" vertical="center"/>
    </xf>
    <xf numFmtId="164" fontId="12" fillId="0" borderId="4" xfId="73" applyFont="1" applyBorder="1" applyAlignment="1">
      <alignment horizontal="center" vertical="center" wrapText="1"/>
    </xf>
    <xf numFmtId="4" fontId="98" fillId="0" borderId="4" xfId="0" applyNumberFormat="1" applyFont="1" applyBorder="1" applyAlignment="1">
      <alignment horizontal="right" vertical="center"/>
    </xf>
    <xf numFmtId="0" fontId="11" fillId="5" borderId="4" xfId="0" applyFont="1" applyFill="1" applyBorder="1" applyAlignment="1">
      <alignment horizontal="center" vertical="center"/>
    </xf>
    <xf numFmtId="164" fontId="12" fillId="5" borderId="4" xfId="73" applyFont="1" applyFill="1" applyBorder="1" applyAlignment="1">
      <alignment horizontal="center" vertical="center" wrapText="1"/>
    </xf>
    <xf numFmtId="164" fontId="11" fillId="5" borderId="4" xfId="73" applyFont="1" applyFill="1" applyBorder="1" applyAlignment="1">
      <alignment horizontal="center" vertical="center" wrapText="1"/>
    </xf>
    <xf numFmtId="164" fontId="0" fillId="0" borderId="4" xfId="73" applyFont="1" applyBorder="1" applyAlignment="1">
      <alignment horizontal="right" vertical="center"/>
    </xf>
    <xf numFmtId="164" fontId="11" fillId="0" borderId="4" xfId="73" applyFont="1" applyBorder="1" applyAlignment="1">
      <alignment horizontal="right" vertical="center"/>
    </xf>
    <xf numFmtId="164" fontId="47" fillId="0" borderId="4" xfId="73" applyFont="1" applyBorder="1" applyAlignment="1">
      <alignment horizontal="right" vertical="center"/>
    </xf>
    <xf numFmtId="164" fontId="11" fillId="0" borderId="4" xfId="73" applyFont="1" applyBorder="1" applyAlignment="1">
      <alignment horizontal="center" vertical="center" wrapText="1"/>
    </xf>
    <xf numFmtId="164" fontId="12" fillId="0" borderId="4" xfId="73" applyFont="1" applyBorder="1" applyAlignment="1">
      <alignment horizontal="right" vertical="center"/>
    </xf>
    <xf numFmtId="164" fontId="12" fillId="5" borderId="4" xfId="73" applyFont="1" applyFill="1" applyBorder="1" applyAlignment="1">
      <alignment horizontal="right" vertical="center"/>
    </xf>
    <xf numFmtId="164" fontId="11" fillId="5" borderId="4" xfId="73" applyFont="1" applyFill="1" applyBorder="1" applyAlignment="1">
      <alignment horizontal="right" vertical="center"/>
    </xf>
    <xf numFmtId="43" fontId="10" fillId="0" borderId="4" xfId="0" applyNumberFormat="1" applyFont="1" applyBorder="1" applyAlignment="1">
      <alignment horizontal="right" vertical="center" wrapText="1"/>
    </xf>
    <xf numFmtId="164" fontId="0" fillId="0" borderId="4" xfId="0" applyNumberFormat="1" applyBorder="1" applyAlignment="1">
      <alignment vertical="center"/>
    </xf>
    <xf numFmtId="2" fontId="0" fillId="0" borderId="4" xfId="0" applyNumberFormat="1" applyBorder="1" applyAlignment="1">
      <alignment horizontal="right" vertical="center" wrapText="1"/>
    </xf>
    <xf numFmtId="2" fontId="0" fillId="0" borderId="4" xfId="0" applyNumberFormat="1" applyBorder="1" applyAlignment="1">
      <alignment vertical="center" wrapText="1"/>
    </xf>
    <xf numFmtId="10" fontId="12" fillId="0" borderId="4" xfId="59" applyNumberFormat="1" applyFont="1" applyBorder="1" applyAlignment="1">
      <alignment vertical="center" wrapText="1"/>
    </xf>
    <xf numFmtId="164" fontId="0" fillId="0" borderId="4" xfId="73" applyFont="1" applyBorder="1" applyAlignment="1">
      <alignment vertical="center" wrapText="1"/>
    </xf>
    <xf numFmtId="10" fontId="12" fillId="0" borderId="4" xfId="59" applyNumberFormat="1" applyFont="1" applyBorder="1" applyAlignment="1">
      <alignment horizontal="center" vertical="center" wrapText="1"/>
    </xf>
    <xf numFmtId="4" fontId="11" fillId="0" borderId="4" xfId="0" applyNumberFormat="1" applyFont="1" applyBorder="1" applyAlignment="1">
      <alignment vertical="center"/>
    </xf>
    <xf numFmtId="164" fontId="11" fillId="0" borderId="4" xfId="73" applyFont="1" applyBorder="1" applyAlignment="1">
      <alignment vertical="center"/>
    </xf>
    <xf numFmtId="164" fontId="12" fillId="0" borderId="4" xfId="0" applyNumberFormat="1" applyFont="1" applyBorder="1" applyAlignment="1">
      <alignment vertical="center"/>
    </xf>
    <xf numFmtId="164" fontId="11" fillId="0" borderId="4" xfId="0" applyNumberFormat="1" applyFont="1" applyBorder="1" applyAlignment="1">
      <alignment vertical="center"/>
    </xf>
    <xf numFmtId="10" fontId="0" fillId="0" borderId="4" xfId="59" applyNumberFormat="1" applyFont="1" applyBorder="1" applyAlignment="1">
      <alignment vertical="center" wrapText="1"/>
    </xf>
    <xf numFmtId="0" fontId="97" fillId="0" borderId="4" xfId="0" applyFont="1" applyBorder="1" applyAlignment="1">
      <alignment vertical="center" wrapText="1"/>
    </xf>
    <xf numFmtId="0" fontId="96" fillId="0" borderId="4" xfId="0" applyFont="1" applyBorder="1" applyAlignment="1">
      <alignment vertical="center"/>
    </xf>
    <xf numFmtId="0" fontId="96" fillId="0" borderId="4" xfId="0" applyFont="1" applyBorder="1" applyAlignment="1">
      <alignment vertical="center" wrapText="1"/>
    </xf>
    <xf numFmtId="43" fontId="96" fillId="0" borderId="4" xfId="123" applyFont="1" applyBorder="1" applyAlignment="1">
      <alignment vertical="center"/>
    </xf>
    <xf numFmtId="43" fontId="96" fillId="0" borderId="4" xfId="0" applyNumberFormat="1" applyFont="1" applyBorder="1" applyAlignment="1">
      <alignment vertical="center"/>
    </xf>
    <xf numFmtId="43" fontId="10" fillId="0" borderId="4" xfId="59" applyNumberFormat="1" applyFont="1" applyFill="1" applyBorder="1" applyAlignment="1">
      <alignment horizontal="right" vertical="center" wrapText="1"/>
    </xf>
    <xf numFmtId="164" fontId="10" fillId="0" borderId="4" xfId="73" applyFont="1" applyBorder="1" applyAlignment="1">
      <alignment horizontal="right" vertical="center" wrapText="1"/>
    </xf>
    <xf numFmtId="164" fontId="10" fillId="0" borderId="4" xfId="59" applyNumberFormat="1" applyFont="1" applyBorder="1" applyAlignment="1">
      <alignment horizontal="right" vertical="center" wrapText="1"/>
    </xf>
    <xf numFmtId="2" fontId="14" fillId="0" borderId="4" xfId="0" applyNumberFormat="1" applyFont="1" applyBorder="1" applyAlignment="1">
      <alignment horizontal="right" vertical="center" wrapText="1"/>
    </xf>
    <xf numFmtId="164" fontId="14" fillId="0" borderId="4" xfId="73" applyFont="1" applyBorder="1" applyAlignment="1">
      <alignment horizontal="right" vertical="center" wrapText="1"/>
    </xf>
    <xf numFmtId="0" fontId="14" fillId="0" borderId="4" xfId="18" applyFont="1" applyBorder="1" applyAlignment="1">
      <alignment horizontal="center"/>
    </xf>
    <xf numFmtId="164" fontId="14" fillId="0" borderId="4" xfId="73" applyFont="1" applyFill="1" applyBorder="1" applyAlignment="1">
      <alignment horizontal="center" vertical="center" wrapText="1"/>
    </xf>
    <xf numFmtId="164" fontId="14" fillId="0" borderId="4" xfId="73" applyFont="1" applyFill="1" applyBorder="1" applyAlignment="1">
      <alignment horizontal="justify" vertical="center" wrapText="1"/>
    </xf>
    <xf numFmtId="164" fontId="14" fillId="0" borderId="4" xfId="73" applyFont="1" applyFill="1" applyBorder="1" applyAlignment="1">
      <alignment horizontal="justify" wrapText="1"/>
    </xf>
    <xf numFmtId="2" fontId="0" fillId="0" borderId="4" xfId="0" applyNumberFormat="1" applyBorder="1" applyAlignment="1">
      <alignment horizontal="right" vertical="top"/>
    </xf>
    <xf numFmtId="2" fontId="10" fillId="0" borderId="4" xfId="0" applyNumberFormat="1" applyFont="1" applyBorder="1" applyAlignment="1">
      <alignment horizontal="right" wrapText="1"/>
    </xf>
    <xf numFmtId="2" fontId="0" fillId="0" borderId="4" xfId="0" applyNumberFormat="1" applyBorder="1" applyAlignment="1">
      <alignment vertical="top"/>
    </xf>
    <xf numFmtId="164" fontId="0" fillId="0" borderId="4" xfId="73" applyFont="1" applyFill="1" applyBorder="1" applyAlignment="1">
      <alignment vertical="top"/>
    </xf>
    <xf numFmtId="164" fontId="14" fillId="0" borderId="4" xfId="0" applyNumberFormat="1" applyFont="1" applyBorder="1" applyAlignment="1">
      <alignment horizontal="justify" wrapText="1"/>
    </xf>
    <xf numFmtId="164" fontId="14" fillId="0" borderId="12" xfId="0" applyNumberFormat="1" applyFont="1" applyBorder="1" applyAlignment="1">
      <alignment horizontal="justify" wrapText="1"/>
    </xf>
    <xf numFmtId="164" fontId="14" fillId="0" borderId="12" xfId="73" applyFont="1" applyFill="1" applyBorder="1" applyAlignment="1">
      <alignment horizontal="justify" wrapText="1"/>
    </xf>
    <xf numFmtId="164" fontId="0" fillId="0" borderId="4" xfId="73" applyFont="1" applyFill="1" applyBorder="1" applyAlignment="1">
      <alignment horizontal="right" vertical="center"/>
    </xf>
    <xf numFmtId="2" fontId="0" fillId="0" borderId="12" xfId="0" applyNumberFormat="1" applyBorder="1" applyAlignment="1">
      <alignment horizontal="right" vertical="top" wrapText="1"/>
    </xf>
    <xf numFmtId="2" fontId="0" fillId="0" borderId="4" xfId="0" applyNumberFormat="1" applyBorder="1" applyAlignment="1">
      <alignment horizontal="right" vertical="top" wrapText="1"/>
    </xf>
    <xf numFmtId="164" fontId="11" fillId="0" borderId="4" xfId="0" applyNumberFormat="1" applyFont="1" applyBorder="1" applyAlignment="1">
      <alignment horizontal="justify" vertical="top" wrapText="1"/>
    </xf>
    <xf numFmtId="164" fontId="10" fillId="0" borderId="4" xfId="0" applyNumberFormat="1" applyFont="1" applyBorder="1" applyAlignment="1">
      <alignment horizontal="center" wrapText="1"/>
    </xf>
    <xf numFmtId="4" fontId="0" fillId="0" borderId="4" xfId="0" applyNumberFormat="1" applyBorder="1"/>
    <xf numFmtId="164" fontId="14" fillId="0" borderId="4" xfId="116" applyFont="1" applyFill="1" applyBorder="1" applyAlignment="1">
      <alignment horizontal="center"/>
    </xf>
    <xf numFmtId="164" fontId="14" fillId="0" borderId="7" xfId="0" applyNumberFormat="1" applyFont="1" applyBorder="1" applyAlignment="1">
      <alignment horizontal="center"/>
    </xf>
    <xf numFmtId="164" fontId="14" fillId="0" borderId="4" xfId="0" applyNumberFormat="1" applyFont="1" applyBorder="1" applyAlignment="1">
      <alignment horizontal="center"/>
    </xf>
    <xf numFmtId="164" fontId="14" fillId="0" borderId="4" xfId="73" applyFont="1" applyFill="1" applyBorder="1"/>
    <xf numFmtId="164" fontId="10" fillId="0" borderId="4" xfId="73" applyFont="1" applyFill="1" applyBorder="1" applyAlignment="1">
      <alignment horizontal="right" wrapText="1"/>
    </xf>
    <xf numFmtId="164" fontId="0" fillId="0" borderId="4" xfId="73" applyFont="1" applyFill="1" applyBorder="1" applyAlignment="1">
      <alignment horizontal="right" vertical="top"/>
    </xf>
    <xf numFmtId="2" fontId="0" fillId="5" borderId="4" xfId="0" applyNumberFormat="1" applyFill="1" applyBorder="1" applyAlignment="1">
      <alignment horizontal="center" vertical="center"/>
    </xf>
    <xf numFmtId="0" fontId="10" fillId="0" borderId="7" xfId="0" applyFont="1" applyBorder="1"/>
    <xf numFmtId="10" fontId="14" fillId="0" borderId="4" xfId="59" applyNumberFormat="1" applyFont="1" applyFill="1" applyBorder="1"/>
    <xf numFmtId="0" fontId="19" fillId="0" borderId="4" xfId="0" applyFont="1" applyBorder="1" applyAlignment="1">
      <alignment horizontal="center" vertical="center"/>
    </xf>
    <xf numFmtId="0" fontId="13" fillId="0" borderId="0" xfId="0" applyFont="1" applyAlignment="1">
      <alignment horizontal="center" vertical="center"/>
    </xf>
    <xf numFmtId="0" fontId="13" fillId="4" borderId="0" xfId="18" applyFont="1" applyFill="1" applyAlignment="1">
      <alignment horizontal="center" vertical="center"/>
    </xf>
    <xf numFmtId="0" fontId="13" fillId="0" borderId="0" xfId="18" applyFont="1" applyAlignment="1">
      <alignment horizontal="center" vertical="center"/>
    </xf>
    <xf numFmtId="2" fontId="14" fillId="0" borderId="4" xfId="0" applyNumberFormat="1" applyFont="1" applyBorder="1" applyAlignment="1">
      <alignment horizontal="center" vertical="center"/>
    </xf>
    <xf numFmtId="0" fontId="13" fillId="4" borderId="4" xfId="18" applyFont="1" applyFill="1" applyBorder="1" applyAlignment="1">
      <alignment horizontal="center" vertical="center"/>
    </xf>
    <xf numFmtId="0" fontId="14" fillId="15" borderId="4" xfId="0" applyFont="1" applyFill="1" applyBorder="1" applyAlignment="1">
      <alignment horizontal="center" wrapText="1"/>
    </xf>
    <xf numFmtId="0" fontId="14" fillId="4" borderId="0" xfId="0" applyFont="1" applyFill="1" applyAlignment="1">
      <alignment vertical="center"/>
    </xf>
    <xf numFmtId="0" fontId="14" fillId="0" borderId="0" xfId="0" applyFont="1" applyAlignment="1">
      <alignment horizontal="right" vertical="center"/>
    </xf>
    <xf numFmtId="0" fontId="14" fillId="15" borderId="4" xfId="0" applyFont="1" applyFill="1" applyBorder="1" applyAlignment="1">
      <alignment horizontal="center" vertical="center" wrapText="1"/>
    </xf>
    <xf numFmtId="0" fontId="10" fillId="5" borderId="4" xfId="0" applyFont="1" applyFill="1" applyBorder="1" applyAlignment="1">
      <alignment horizontal="center" vertical="center"/>
    </xf>
    <xf numFmtId="0" fontId="10" fillId="5" borderId="4" xfId="0" applyFont="1" applyFill="1" applyBorder="1" applyAlignment="1">
      <alignment vertical="center"/>
    </xf>
    <xf numFmtId="185" fontId="14" fillId="0" borderId="4" xfId="73" applyNumberFormat="1" applyFont="1" applyFill="1" applyBorder="1" applyAlignment="1">
      <alignment horizontal="center" vertical="center" wrapText="1"/>
    </xf>
    <xf numFmtId="0" fontId="52" fillId="25" borderId="4" xfId="0" applyFont="1" applyFill="1" applyBorder="1" applyAlignment="1">
      <alignment horizontal="center" vertical="center" wrapText="1"/>
    </xf>
    <xf numFmtId="0" fontId="10" fillId="0" borderId="4" xfId="0" applyFont="1" applyBorder="1" applyAlignment="1">
      <alignment wrapText="1"/>
    </xf>
    <xf numFmtId="2" fontId="10" fillId="0" borderId="4" xfId="0" applyNumberFormat="1" applyFont="1" applyBorder="1" applyAlignment="1">
      <alignment horizontal="right" vertical="justify"/>
    </xf>
    <xf numFmtId="2" fontId="10" fillId="0" borderId="4" xfId="0" applyNumberFormat="1" applyFont="1" applyBorder="1" applyAlignment="1">
      <alignment horizontal="right" vertical="justify" wrapText="1"/>
    </xf>
    <xf numFmtId="164" fontId="14" fillId="0" borderId="4" xfId="73" applyFont="1" applyFill="1" applyBorder="1" applyAlignment="1">
      <alignment horizontal="right" vertical="justify"/>
    </xf>
    <xf numFmtId="2" fontId="14" fillId="0" borderId="7" xfId="0" applyNumberFormat="1" applyFont="1" applyBorder="1" applyAlignment="1">
      <alignment horizontal="right" vertical="justify"/>
    </xf>
    <xf numFmtId="2" fontId="10" fillId="0" borderId="7" xfId="0" applyNumberFormat="1" applyFont="1" applyBorder="1" applyAlignment="1">
      <alignment horizontal="right" vertical="justify"/>
    </xf>
    <xf numFmtId="2" fontId="10" fillId="0" borderId="4" xfId="0" applyNumberFormat="1" applyFont="1" applyBorder="1" applyAlignment="1">
      <alignment vertical="justify"/>
    </xf>
    <xf numFmtId="0" fontId="10" fillId="20" borderId="0" xfId="0" applyFont="1" applyFill="1" applyAlignment="1">
      <alignment vertical="center"/>
    </xf>
    <xf numFmtId="0" fontId="24" fillId="0" borderId="0" xfId="0" applyFont="1" applyAlignment="1">
      <alignment vertical="center"/>
    </xf>
    <xf numFmtId="164" fontId="45" fillId="0" borderId="4" xfId="73" applyFont="1" applyBorder="1"/>
    <xf numFmtId="171" fontId="14" fillId="0" borderId="4" xfId="0" applyNumberFormat="1" applyFont="1" applyBorder="1" applyAlignment="1">
      <alignment horizontal="center" vertical="center" wrapText="1"/>
    </xf>
    <xf numFmtId="170" fontId="14" fillId="0" borderId="4" xfId="0" applyNumberFormat="1" applyFont="1" applyBorder="1" applyAlignment="1">
      <alignment horizontal="center" vertical="center" wrapText="1"/>
    </xf>
    <xf numFmtId="164" fontId="40" fillId="5" borderId="4" xfId="73" applyFont="1" applyFill="1" applyBorder="1" applyAlignment="1">
      <alignment vertical="center"/>
    </xf>
    <xf numFmtId="171" fontId="10" fillId="0" borderId="4" xfId="0" applyNumberFormat="1" applyFont="1" applyBorder="1" applyAlignment="1">
      <alignment horizontal="center" vertical="center" wrapText="1"/>
    </xf>
    <xf numFmtId="170" fontId="10" fillId="0" borderId="4" xfId="0" applyNumberFormat="1" applyFont="1" applyBorder="1" applyAlignment="1">
      <alignment horizontal="center" vertical="center" wrapText="1"/>
    </xf>
    <xf numFmtId="164" fontId="14" fillId="0" borderId="4" xfId="0" applyNumberFormat="1" applyFont="1" applyBorder="1" applyAlignment="1">
      <alignment horizontal="center" vertical="center" wrapText="1"/>
    </xf>
    <xf numFmtId="0" fontId="0" fillId="0" borderId="4" xfId="0" applyBorder="1" applyAlignment="1">
      <alignment vertical="top" wrapText="1"/>
    </xf>
    <xf numFmtId="164" fontId="43" fillId="0" borderId="4" xfId="73" applyFont="1" applyFill="1" applyBorder="1" applyAlignment="1">
      <alignment horizontal="left" vertical="center" wrapText="1"/>
    </xf>
    <xf numFmtId="164" fontId="101" fillId="0" borderId="4" xfId="73" applyFont="1" applyFill="1" applyBorder="1" applyAlignment="1">
      <alignment vertical="center" wrapText="1"/>
    </xf>
    <xf numFmtId="0" fontId="101" fillId="0" borderId="4" xfId="91" applyFont="1" applyBorder="1" applyAlignment="1">
      <alignment vertical="center" wrapText="1"/>
    </xf>
    <xf numFmtId="4" fontId="42" fillId="5" borderId="4" xfId="0" applyNumberFormat="1" applyFont="1" applyFill="1" applyBorder="1" applyAlignment="1">
      <alignment horizontal="center" vertical="center" wrapText="1"/>
    </xf>
    <xf numFmtId="164" fontId="12" fillId="0" borderId="4" xfId="73" applyFont="1" applyFill="1" applyBorder="1" applyAlignment="1">
      <alignment vertical="top"/>
    </xf>
    <xf numFmtId="43" fontId="10" fillId="5" borderId="4" xfId="0" applyNumberFormat="1" applyFont="1" applyFill="1" applyBorder="1" applyAlignment="1">
      <alignment horizontal="left"/>
    </xf>
    <xf numFmtId="10" fontId="10" fillId="5" borderId="4" xfId="59" applyNumberFormat="1" applyFont="1" applyFill="1" applyBorder="1"/>
    <xf numFmtId="14" fontId="11" fillId="0" borderId="4" xfId="0" applyNumberFormat="1" applyFont="1" applyBorder="1" applyAlignment="1">
      <alignment horizontal="center" vertical="center"/>
    </xf>
    <xf numFmtId="0" fontId="29" fillId="0" borderId="0" xfId="0" applyFont="1"/>
    <xf numFmtId="0" fontId="37" fillId="0" borderId="0" xfId="0" applyFont="1"/>
    <xf numFmtId="0" fontId="102" fillId="14" borderId="4" xfId="0" applyFont="1" applyFill="1" applyBorder="1" applyAlignment="1">
      <alignment horizontal="center" vertical="center" wrapText="1"/>
    </xf>
    <xf numFmtId="0" fontId="73" fillId="0" borderId="0" xfId="18" applyFont="1" applyAlignment="1">
      <alignment horizontal="left"/>
    </xf>
    <xf numFmtId="0" fontId="103" fillId="0" borderId="0" xfId="107" applyFont="1">
      <alignment vertical="center"/>
    </xf>
    <xf numFmtId="0" fontId="104" fillId="0" borderId="0" xfId="0" applyFont="1" applyAlignment="1">
      <alignment vertical="center"/>
    </xf>
    <xf numFmtId="0" fontId="104" fillId="0" borderId="0" xfId="0" applyFont="1" applyAlignment="1">
      <alignment horizontal="left"/>
    </xf>
    <xf numFmtId="0" fontId="103" fillId="0" borderId="0" xfId="91" applyFont="1" applyAlignment="1">
      <alignment vertical="center"/>
    </xf>
    <xf numFmtId="0" fontId="73" fillId="4" borderId="0" xfId="18" applyFont="1" applyFill="1" applyAlignment="1">
      <alignment horizontal="left"/>
    </xf>
    <xf numFmtId="0" fontId="105" fillId="0" borderId="4" xfId="0" applyFont="1" applyBorder="1" applyAlignment="1">
      <alignment horizontal="justify" vertical="center"/>
    </xf>
    <xf numFmtId="0" fontId="102" fillId="0" borderId="4" xfId="0" applyFont="1" applyBorder="1" applyAlignment="1">
      <alignment horizontal="justify" vertical="center"/>
    </xf>
    <xf numFmtId="180" fontId="102" fillId="0" borderId="4" xfId="0" applyNumberFormat="1" applyFont="1" applyBorder="1" applyAlignment="1">
      <alignment horizontal="justify" vertical="center"/>
    </xf>
    <xf numFmtId="17" fontId="105" fillId="0" borderId="4" xfId="0" applyNumberFormat="1" applyFont="1" applyBorder="1" applyAlignment="1">
      <alignment horizontal="justify" vertical="center"/>
    </xf>
    <xf numFmtId="0" fontId="105" fillId="0" borderId="4" xfId="0" applyFont="1" applyBorder="1" applyAlignment="1">
      <alignment horizontal="center" vertical="center"/>
    </xf>
    <xf numFmtId="180" fontId="105" fillId="0" borderId="4" xfId="73" applyNumberFormat="1" applyFont="1" applyBorder="1" applyAlignment="1">
      <alignment horizontal="justify" vertical="center"/>
    </xf>
    <xf numFmtId="180" fontId="105" fillId="0" borderId="4" xfId="0" applyNumberFormat="1" applyFont="1" applyBorder="1" applyAlignment="1">
      <alignment horizontal="justify" vertical="center"/>
    </xf>
    <xf numFmtId="180" fontId="105" fillId="0" borderId="4" xfId="73" applyNumberFormat="1" applyFont="1" applyBorder="1" applyAlignment="1">
      <alignment horizontal="center" vertical="center"/>
    </xf>
    <xf numFmtId="0" fontId="37" fillId="0" borderId="4" xfId="0" applyFont="1" applyBorder="1"/>
    <xf numFmtId="0" fontId="37" fillId="0" borderId="4" xfId="0" applyFont="1" applyBorder="1" applyAlignment="1">
      <alignment horizontal="center"/>
    </xf>
    <xf numFmtId="180" fontId="37" fillId="0" borderId="4" xfId="73" applyNumberFormat="1" applyFont="1" applyBorder="1"/>
    <xf numFmtId="180" fontId="37" fillId="0" borderId="4" xfId="0" applyNumberFormat="1" applyFont="1" applyBorder="1"/>
    <xf numFmtId="0" fontId="29" fillId="0" borderId="4" xfId="0" applyFont="1" applyBorder="1"/>
    <xf numFmtId="0" fontId="29" fillId="0" borderId="4" xfId="0" applyFont="1" applyBorder="1" applyAlignment="1">
      <alignment horizontal="center"/>
    </xf>
    <xf numFmtId="43" fontId="29" fillId="0" borderId="4" xfId="0" applyNumberFormat="1" applyFont="1" applyBorder="1" applyAlignment="1">
      <alignment horizontal="center"/>
    </xf>
    <xf numFmtId="0" fontId="74" fillId="0" borderId="0" xfId="0" applyFont="1"/>
    <xf numFmtId="0" fontId="104" fillId="0" borderId="0" xfId="0" applyFont="1"/>
    <xf numFmtId="0" fontId="104" fillId="4" borderId="0" xfId="0" applyFont="1" applyFill="1"/>
    <xf numFmtId="0" fontId="106" fillId="8" borderId="4" xfId="0" applyFont="1" applyFill="1" applyBorder="1" applyAlignment="1">
      <alignment horizontal="center" vertical="center" wrapText="1"/>
    </xf>
    <xf numFmtId="0" fontId="106" fillId="0" borderId="4" xfId="0" applyFont="1" applyBorder="1" applyAlignment="1">
      <alignment vertical="center" wrapText="1"/>
    </xf>
    <xf numFmtId="0" fontId="74" fillId="0" borderId="4" xfId="0" applyFont="1" applyBorder="1"/>
    <xf numFmtId="179" fontId="107" fillId="0" borderId="4" xfId="118" applyNumberFormat="1" applyFont="1" applyBorder="1" applyAlignment="1">
      <alignment horizontal="center" vertical="center"/>
    </xf>
    <xf numFmtId="43" fontId="108" fillId="0" borderId="4" xfId="118" applyFont="1" applyBorder="1" applyAlignment="1">
      <alignment horizontal="left" vertical="center"/>
    </xf>
    <xf numFmtId="43" fontId="107" fillId="0" borderId="4" xfId="118" applyFont="1" applyBorder="1" applyAlignment="1">
      <alignment horizontal="left" vertical="center"/>
    </xf>
    <xf numFmtId="43" fontId="107" fillId="5" borderId="4" xfId="118" applyFont="1" applyFill="1" applyBorder="1" applyAlignment="1">
      <alignment horizontal="left" vertical="center"/>
    </xf>
    <xf numFmtId="43" fontId="107" fillId="0" borderId="4" xfId="118" applyFont="1" applyFill="1" applyBorder="1" applyAlignment="1">
      <alignment horizontal="left" vertical="center"/>
    </xf>
    <xf numFmtId="179" fontId="108" fillId="0" borderId="4" xfId="118" applyNumberFormat="1" applyFont="1" applyBorder="1" applyAlignment="1">
      <alignment horizontal="center" vertical="center"/>
    </xf>
    <xf numFmtId="43" fontId="108" fillId="0" borderId="4" xfId="118" applyFont="1" applyFill="1" applyBorder="1" applyAlignment="1">
      <alignment horizontal="left" vertical="center"/>
    </xf>
    <xf numFmtId="0" fontId="106" fillId="0" borderId="4" xfId="0" applyFont="1" applyBorder="1" applyAlignment="1">
      <alignment wrapText="1"/>
    </xf>
    <xf numFmtId="0" fontId="109" fillId="0" borderId="4" xfId="119" applyNumberFormat="1" applyFont="1" applyFill="1" applyBorder="1" applyAlignment="1">
      <alignment horizontal="left" vertical="center" wrapText="1"/>
    </xf>
    <xf numFmtId="43" fontId="25" fillId="0" borderId="4" xfId="118" applyFont="1" applyFill="1" applyBorder="1" applyAlignment="1">
      <alignment horizontal="left" vertical="center"/>
    </xf>
    <xf numFmtId="164" fontId="73" fillId="0" borderId="4" xfId="73" applyFont="1" applyBorder="1" applyAlignment="1">
      <alignment horizontal="center"/>
    </xf>
    <xf numFmtId="0" fontId="28" fillId="0" borderId="0" xfId="0" applyFont="1"/>
    <xf numFmtId="0" fontId="28" fillId="0" borderId="3" xfId="0" applyFont="1" applyBorder="1"/>
    <xf numFmtId="0" fontId="28" fillId="0" borderId="12" xfId="0" applyFont="1" applyBorder="1"/>
    <xf numFmtId="0" fontId="28" fillId="0" borderId="4" xfId="0" applyFont="1" applyBorder="1"/>
    <xf numFmtId="0" fontId="37" fillId="0" borderId="4" xfId="0" applyFont="1" applyBorder="1" applyAlignment="1">
      <alignment vertical="center"/>
    </xf>
    <xf numFmtId="9" fontId="74" fillId="0" borderId="4" xfId="0" applyNumberFormat="1" applyFont="1" applyBorder="1"/>
    <xf numFmtId="0" fontId="74" fillId="5" borderId="4" xfId="0" applyFont="1" applyFill="1" applyBorder="1"/>
    <xf numFmtId="10" fontId="74" fillId="5" borderId="4" xfId="59" applyNumberFormat="1" applyFont="1" applyFill="1" applyBorder="1"/>
    <xf numFmtId="16" fontId="74" fillId="0" borderId="4" xfId="0" quotePrefix="1" applyNumberFormat="1" applyFont="1" applyBorder="1" applyAlignment="1">
      <alignment horizontal="center"/>
    </xf>
    <xf numFmtId="2" fontId="74" fillId="0" borderId="4" xfId="0" applyNumberFormat="1" applyFont="1" applyBorder="1"/>
    <xf numFmtId="164" fontId="74" fillId="0" borderId="4" xfId="73" applyFont="1" applyBorder="1"/>
    <xf numFmtId="164" fontId="74" fillId="0" borderId="4" xfId="73" applyFont="1" applyFill="1" applyBorder="1"/>
    <xf numFmtId="0" fontId="74" fillId="0" borderId="4" xfId="0" applyFont="1" applyBorder="1" applyAlignment="1">
      <alignment horizontal="center"/>
    </xf>
    <xf numFmtId="43" fontId="108" fillId="0" borderId="4" xfId="118" applyFont="1" applyFill="1" applyBorder="1" applyAlignment="1">
      <alignment horizontal="center" vertical="center"/>
    </xf>
    <xf numFmtId="0" fontId="73" fillId="0" borderId="4" xfId="0" applyFont="1" applyBorder="1" applyAlignment="1">
      <alignment horizontal="center"/>
    </xf>
    <xf numFmtId="0" fontId="73" fillId="0" borderId="4" xfId="0" quotePrefix="1" applyFont="1" applyBorder="1" applyAlignment="1">
      <alignment horizontal="center"/>
    </xf>
    <xf numFmtId="2" fontId="73" fillId="0" borderId="4" xfId="0" applyNumberFormat="1" applyFont="1" applyBorder="1" applyAlignment="1">
      <alignment horizontal="center"/>
    </xf>
    <xf numFmtId="43" fontId="110" fillId="0" borderId="4" xfId="118" applyFont="1" applyFill="1" applyBorder="1" applyAlignment="1">
      <alignment vertical="center"/>
    </xf>
    <xf numFmtId="0" fontId="107" fillId="0" borderId="4" xfId="91" applyFont="1" applyBorder="1" applyAlignment="1">
      <alignment horizontal="center" vertical="center"/>
    </xf>
    <xf numFmtId="1" fontId="111" fillId="0" borderId="4" xfId="0" applyNumberFormat="1" applyFont="1" applyBorder="1" applyAlignment="1">
      <alignment vertical="center" wrapText="1"/>
    </xf>
    <xf numFmtId="43" fontId="74" fillId="0" borderId="4" xfId="0" applyNumberFormat="1" applyFont="1" applyBorder="1"/>
    <xf numFmtId="164" fontId="73" fillId="0" borderId="4" xfId="73" applyFont="1" applyBorder="1"/>
    <xf numFmtId="179" fontId="28" fillId="0" borderId="4" xfId="118" applyNumberFormat="1" applyFont="1" applyBorder="1" applyAlignment="1">
      <alignment vertical="center"/>
    </xf>
    <xf numFmtId="43" fontId="73" fillId="0" borderId="4" xfId="0" applyNumberFormat="1" applyFont="1" applyBorder="1"/>
    <xf numFmtId="43" fontId="73" fillId="0" borderId="0" xfId="0" applyNumberFormat="1" applyFont="1"/>
    <xf numFmtId="0" fontId="37" fillId="0" borderId="4" xfId="0" applyFont="1" applyBorder="1" applyAlignment="1">
      <alignment vertical="center" wrapText="1"/>
    </xf>
    <xf numFmtId="0" fontId="29" fillId="0" borderId="0" xfId="0" applyFont="1" applyAlignment="1">
      <alignment horizontal="left"/>
    </xf>
    <xf numFmtId="0" fontId="72" fillId="0" borderId="0" xfId="0" applyFont="1" applyAlignment="1">
      <alignment vertical="center"/>
    </xf>
    <xf numFmtId="0" fontId="113" fillId="0" borderId="0" xfId="0" applyFont="1"/>
    <xf numFmtId="0" fontId="113" fillId="8" borderId="0" xfId="0" applyFont="1" applyFill="1"/>
    <xf numFmtId="0" fontId="114" fillId="0" borderId="4" xfId="0" applyFont="1" applyBorder="1" applyAlignment="1">
      <alignment horizontal="center" vertical="center"/>
    </xf>
    <xf numFmtId="2" fontId="72" fillId="0" borderId="4" xfId="0" applyNumberFormat="1" applyFont="1" applyBorder="1" applyAlignment="1">
      <alignment horizontal="left" vertical="center" wrapText="1"/>
    </xf>
    <xf numFmtId="2" fontId="72" fillId="0" borderId="4" xfId="0" applyNumberFormat="1" applyFont="1" applyBorder="1" applyAlignment="1">
      <alignment horizontal="center" vertical="center" wrapText="1"/>
    </xf>
    <xf numFmtId="0" fontId="72" fillId="0" borderId="4" xfId="0" applyFont="1" applyBorder="1" applyAlignment="1">
      <alignment vertical="center"/>
    </xf>
    <xf numFmtId="0" fontId="72" fillId="0" borderId="4" xfId="0" applyFont="1" applyBorder="1" applyAlignment="1">
      <alignment horizontal="center" vertical="center"/>
    </xf>
    <xf numFmtId="0" fontId="72" fillId="0" borderId="4" xfId="0" applyFont="1" applyBorder="1" applyAlignment="1">
      <alignment vertical="center" wrapText="1"/>
    </xf>
    <xf numFmtId="10" fontId="72" fillId="0" borderId="0" xfId="59" applyNumberFormat="1" applyFont="1" applyAlignment="1">
      <alignment horizontal="center" vertical="center"/>
    </xf>
    <xf numFmtId="14" fontId="72" fillId="0" borderId="0" xfId="0" applyNumberFormat="1" applyFont="1" applyAlignment="1">
      <alignment horizontal="center" vertical="center"/>
    </xf>
    <xf numFmtId="0" fontId="114" fillId="0" borderId="0" xfId="0" applyFont="1" applyAlignment="1">
      <alignment vertical="center"/>
    </xf>
    <xf numFmtId="0" fontId="72" fillId="0" borderId="0" xfId="59" applyNumberFormat="1" applyFont="1" applyAlignment="1">
      <alignment horizontal="center" vertical="center"/>
    </xf>
    <xf numFmtId="2" fontId="72" fillId="0" borderId="0" xfId="119" applyNumberFormat="1" applyFont="1" applyFill="1" applyBorder="1" applyAlignment="1">
      <alignment horizontal="center" vertical="center"/>
    </xf>
    <xf numFmtId="2" fontId="72" fillId="0" borderId="4" xfId="119" applyNumberFormat="1" applyFont="1" applyFill="1" applyBorder="1" applyAlignment="1">
      <alignment horizontal="center" vertical="center"/>
    </xf>
    <xf numFmtId="0" fontId="72" fillId="0" borderId="0" xfId="0" applyFont="1" applyAlignment="1">
      <alignment horizontal="center" vertical="center"/>
    </xf>
    <xf numFmtId="0" fontId="116" fillId="0" borderId="0" xfId="0" applyFont="1"/>
    <xf numFmtId="0" fontId="118" fillId="0" borderId="0" xfId="0" applyFont="1"/>
    <xf numFmtId="0" fontId="117" fillId="8" borderId="0" xfId="0" applyFont="1" applyFill="1"/>
    <xf numFmtId="0" fontId="117" fillId="0" borderId="0" xfId="0" applyFont="1"/>
    <xf numFmtId="0" fontId="115" fillId="0" borderId="0" xfId="0" applyFont="1"/>
    <xf numFmtId="0" fontId="116" fillId="0" borderId="0" xfId="0" applyFont="1" applyAlignment="1">
      <alignment horizontal="center" vertical="center"/>
    </xf>
    <xf numFmtId="0" fontId="116" fillId="0" borderId="0" xfId="0" applyFont="1" applyAlignment="1">
      <alignment horizontal="center"/>
    </xf>
    <xf numFmtId="0" fontId="115" fillId="8" borderId="4" xfId="0" applyFont="1" applyFill="1" applyBorder="1" applyAlignment="1">
      <alignment horizontal="center" vertical="center" wrapText="1"/>
    </xf>
    <xf numFmtId="0" fontId="116" fillId="0" borderId="4" xfId="0" applyFont="1" applyBorder="1"/>
    <xf numFmtId="0" fontId="116" fillId="10" borderId="4" xfId="0" applyFont="1" applyFill="1" applyBorder="1" applyAlignment="1">
      <alignment horizontal="center" vertical="center" wrapText="1"/>
    </xf>
    <xf numFmtId="0" fontId="116" fillId="0" borderId="4" xfId="0" applyFont="1" applyBorder="1" applyAlignment="1">
      <alignment horizontal="center"/>
    </xf>
    <xf numFmtId="0" fontId="116" fillId="0" borderId="4" xfId="0" quotePrefix="1" applyFont="1" applyBorder="1" applyAlignment="1">
      <alignment vertical="center"/>
    </xf>
    <xf numFmtId="14" fontId="116" fillId="0" borderId="4" xfId="0" applyNumberFormat="1" applyFont="1" applyBorder="1" applyAlignment="1">
      <alignment horizontal="center" vertical="center"/>
    </xf>
    <xf numFmtId="20" fontId="116" fillId="0" borderId="4" xfId="0" applyNumberFormat="1" applyFont="1" applyBorder="1" applyAlignment="1">
      <alignment horizontal="center"/>
    </xf>
    <xf numFmtId="20" fontId="116" fillId="0" borderId="4" xfId="0" quotePrefix="1" applyNumberFormat="1" applyFont="1" applyBorder="1" applyAlignment="1">
      <alignment horizontal="center"/>
    </xf>
    <xf numFmtId="2" fontId="116" fillId="0" borderId="4" xfId="0" applyNumberFormat="1" applyFont="1" applyBorder="1" applyAlignment="1">
      <alignment horizontal="center" vertical="center" wrapText="1"/>
    </xf>
    <xf numFmtId="164" fontId="116" fillId="5" borderId="4" xfId="73" applyFont="1" applyFill="1" applyBorder="1" applyProtection="1">
      <protection locked="0"/>
    </xf>
    <xf numFmtId="0" fontId="116" fillId="5" borderId="4" xfId="0" applyFont="1" applyFill="1" applyBorder="1" applyAlignment="1" applyProtection="1">
      <alignment horizontal="center"/>
      <protection locked="0"/>
    </xf>
    <xf numFmtId="2" fontId="116" fillId="5" borderId="4" xfId="0" applyNumberFormat="1" applyFont="1" applyFill="1" applyBorder="1" applyAlignment="1" applyProtection="1">
      <alignment horizontal="center"/>
      <protection locked="0"/>
    </xf>
    <xf numFmtId="43" fontId="116" fillId="5" borderId="4" xfId="0" applyNumberFormat="1" applyFont="1" applyFill="1" applyBorder="1"/>
    <xf numFmtId="0" fontId="116" fillId="0" borderId="4" xfId="0" applyFont="1" applyBorder="1" applyAlignment="1">
      <alignment vertical="center"/>
    </xf>
    <xf numFmtId="43" fontId="116" fillId="0" borderId="4" xfId="0" applyNumberFormat="1" applyFont="1" applyBorder="1" applyAlignment="1">
      <alignment vertical="center"/>
    </xf>
    <xf numFmtId="0" fontId="116" fillId="0" borderId="0" xfId="0" quotePrefix="1" applyFont="1" applyAlignment="1">
      <alignment vertical="center"/>
    </xf>
    <xf numFmtId="14" fontId="116" fillId="0" borderId="0" xfId="0" applyNumberFormat="1" applyFont="1" applyAlignment="1">
      <alignment horizontal="center" vertical="center"/>
    </xf>
    <xf numFmtId="20" fontId="116" fillId="0" borderId="0" xfId="0" applyNumberFormat="1" applyFont="1" applyAlignment="1">
      <alignment horizontal="center"/>
    </xf>
    <xf numFmtId="20" fontId="116" fillId="0" borderId="0" xfId="0" quotePrefix="1" applyNumberFormat="1" applyFont="1" applyAlignment="1">
      <alignment horizontal="center"/>
    </xf>
    <xf numFmtId="2" fontId="116" fillId="0" borderId="0" xfId="0" applyNumberFormat="1" applyFont="1" applyAlignment="1">
      <alignment horizontal="center" vertical="center" wrapText="1"/>
    </xf>
    <xf numFmtId="164" fontId="116" fillId="5" borderId="0" xfId="73" applyFont="1" applyFill="1" applyBorder="1" applyProtection="1">
      <protection locked="0"/>
    </xf>
    <xf numFmtId="0" fontId="116" fillId="5" borderId="0" xfId="0" applyFont="1" applyFill="1" applyAlignment="1" applyProtection="1">
      <alignment horizontal="center"/>
      <protection locked="0"/>
    </xf>
    <xf numFmtId="43" fontId="116" fillId="5" borderId="0" xfId="0" applyNumberFormat="1" applyFont="1" applyFill="1"/>
    <xf numFmtId="0" fontId="116" fillId="5" borderId="0" xfId="0" applyFont="1" applyFill="1" applyProtection="1">
      <protection locked="0"/>
    </xf>
    <xf numFmtId="14" fontId="116" fillId="5" borderId="0" xfId="0" applyNumberFormat="1" applyFont="1" applyFill="1" applyProtection="1">
      <protection locked="0"/>
    </xf>
    <xf numFmtId="0" fontId="116" fillId="5" borderId="0" xfId="0" applyFont="1" applyFill="1"/>
    <xf numFmtId="0" fontId="116" fillId="0" borderId="4" xfId="0" quotePrefix="1" applyFont="1" applyBorder="1" applyAlignment="1">
      <alignment vertical="center" wrapText="1"/>
    </xf>
    <xf numFmtId="0" fontId="73" fillId="8" borderId="4" xfId="13" applyFont="1" applyFill="1" applyBorder="1" applyAlignment="1">
      <alignment horizontal="center" vertical="center" wrapText="1"/>
    </xf>
    <xf numFmtId="0" fontId="74" fillId="0" borderId="4" xfId="0" applyFont="1" applyBorder="1" applyAlignment="1">
      <alignment horizontal="justify" vertical="center"/>
    </xf>
    <xf numFmtId="0" fontId="74" fillId="0" borderId="4" xfId="0" applyFont="1" applyBorder="1" applyAlignment="1">
      <alignment horizontal="justify" vertical="top" wrapText="1"/>
    </xf>
    <xf numFmtId="164" fontId="74" fillId="0" borderId="4" xfId="73" applyFont="1" applyFill="1" applyBorder="1" applyAlignment="1">
      <alignment horizontal="center" vertical="center" wrapText="1"/>
    </xf>
    <xf numFmtId="164" fontId="37" fillId="0" borderId="4" xfId="73" applyFont="1" applyFill="1" applyBorder="1" applyAlignment="1">
      <alignment horizontal="center" vertical="center"/>
    </xf>
    <xf numFmtId="0" fontId="73" fillId="0" borderId="4" xfId="13" applyFont="1" applyBorder="1" applyAlignment="1">
      <alignment horizontal="justify" vertical="center" wrapText="1"/>
    </xf>
    <xf numFmtId="164" fontId="73" fillId="19" borderId="4" xfId="73" applyFont="1" applyFill="1" applyBorder="1" applyAlignment="1">
      <alignment horizontal="center"/>
    </xf>
    <xf numFmtId="164" fontId="73" fillId="19" borderId="4" xfId="73" applyFont="1" applyFill="1" applyBorder="1" applyAlignment="1">
      <alignment horizontal="center" vertical="center"/>
    </xf>
    <xf numFmtId="0" fontId="73" fillId="0" borderId="0" xfId="18" applyFont="1" applyAlignment="1">
      <alignment horizontal="left" vertical="center"/>
    </xf>
    <xf numFmtId="0" fontId="37" fillId="0" borderId="0" xfId="0" applyFont="1" applyAlignment="1">
      <alignment vertical="center"/>
    </xf>
    <xf numFmtId="180" fontId="37" fillId="0" borderId="0" xfId="73" applyNumberFormat="1" applyFont="1" applyAlignment="1">
      <alignment vertical="center"/>
    </xf>
    <xf numFmtId="0" fontId="104" fillId="0" borderId="0" xfId="0" applyFont="1" applyAlignment="1">
      <alignment horizontal="left" vertical="center"/>
    </xf>
    <xf numFmtId="0" fontId="73" fillId="4" borderId="0" xfId="18" applyFont="1" applyFill="1" applyAlignment="1">
      <alignment vertical="center"/>
    </xf>
    <xf numFmtId="0" fontId="73" fillId="4" borderId="0" xfId="18" applyFont="1" applyFill="1" applyAlignment="1">
      <alignment horizontal="center" vertical="center"/>
    </xf>
    <xf numFmtId="0" fontId="73" fillId="0" borderId="0" xfId="0" applyFont="1" applyAlignment="1">
      <alignment horizontal="center" vertical="center"/>
    </xf>
    <xf numFmtId="0" fontId="74" fillId="0" borderId="11" xfId="13" applyFont="1" applyBorder="1" applyAlignment="1">
      <alignment horizontal="center" vertical="center"/>
    </xf>
    <xf numFmtId="0" fontId="73" fillId="8" borderId="4" xfId="0" applyFont="1" applyFill="1" applyBorder="1" applyAlignment="1">
      <alignment horizontal="center" vertical="center" wrapText="1"/>
    </xf>
    <xf numFmtId="0" fontId="73" fillId="8" borderId="4" xfId="18" applyFont="1" applyFill="1" applyBorder="1" applyAlignment="1">
      <alignment horizontal="center" vertical="center"/>
    </xf>
    <xf numFmtId="0" fontId="73" fillId="8" borderId="4" xfId="18" applyFont="1" applyFill="1" applyBorder="1" applyAlignment="1">
      <alignment horizontal="center" vertical="center" wrapText="1"/>
    </xf>
    <xf numFmtId="180" fontId="73" fillId="8" borderId="4" xfId="73" applyNumberFormat="1" applyFont="1" applyFill="1" applyBorder="1" applyAlignment="1">
      <alignment horizontal="center" vertical="center"/>
    </xf>
    <xf numFmtId="0" fontId="74" fillId="0" borderId="4" xfId="0" applyFont="1" applyBorder="1" applyAlignment="1">
      <alignment horizontal="center" vertical="center"/>
    </xf>
    <xf numFmtId="0" fontId="74" fillId="0" borderId="4" xfId="0" applyFont="1" applyBorder="1" applyAlignment="1">
      <alignment vertical="center" wrapText="1"/>
    </xf>
    <xf numFmtId="164" fontId="74" fillId="0" borderId="4" xfId="73" applyFont="1" applyBorder="1" applyAlignment="1">
      <alignment vertical="center"/>
    </xf>
    <xf numFmtId="180" fontId="74" fillId="0" borderId="4" xfId="73" applyNumberFormat="1" applyFont="1" applyBorder="1" applyAlignment="1">
      <alignment vertical="center"/>
    </xf>
    <xf numFmtId="0" fontId="74" fillId="0" borderId="4" xfId="58" applyFont="1" applyBorder="1" applyAlignment="1">
      <alignment vertical="center" wrapText="1"/>
    </xf>
    <xf numFmtId="164" fontId="74" fillId="0" borderId="4" xfId="73" applyFont="1" applyBorder="1" applyAlignment="1">
      <alignment vertical="center" wrapText="1"/>
    </xf>
    <xf numFmtId="180" fontId="74" fillId="0" borderId="4" xfId="73" applyNumberFormat="1" applyFont="1" applyBorder="1" applyAlignment="1">
      <alignment vertical="center" wrapText="1"/>
    </xf>
    <xf numFmtId="0" fontId="74" fillId="0" borderId="4" xfId="58" applyFont="1" applyBorder="1" applyAlignment="1">
      <alignment horizontal="left" vertical="center" wrapText="1"/>
    </xf>
    <xf numFmtId="164" fontId="74" fillId="0" borderId="4" xfId="73" applyFont="1" applyBorder="1" applyAlignment="1">
      <alignment horizontal="left" vertical="center"/>
    </xf>
    <xf numFmtId="164" fontId="73" fillId="0" borderId="8" xfId="73" applyFont="1" applyBorder="1" applyAlignment="1">
      <alignment horizontal="center" vertical="center" wrapText="1"/>
    </xf>
    <xf numFmtId="164" fontId="73" fillId="0" borderId="11" xfId="73" applyFont="1" applyBorder="1" applyAlignment="1">
      <alignment horizontal="center" vertical="center" wrapText="1"/>
    </xf>
    <xf numFmtId="164" fontId="73" fillId="0" borderId="19" xfId="73" applyFont="1" applyBorder="1" applyAlignment="1">
      <alignment horizontal="center" vertical="center" wrapText="1"/>
    </xf>
    <xf numFmtId="0" fontId="74" fillId="0" borderId="4" xfId="58" applyFont="1" applyBorder="1" applyAlignment="1">
      <alignment horizontal="center" vertical="center"/>
    </xf>
    <xf numFmtId="0" fontId="73" fillId="0" borderId="4" xfId="58" applyFont="1" applyBorder="1" applyAlignment="1">
      <alignment vertical="center" wrapText="1"/>
    </xf>
    <xf numFmtId="164" fontId="73" fillId="0" borderId="4" xfId="73" applyFont="1" applyFill="1" applyBorder="1" applyAlignment="1">
      <alignment vertical="center" wrapText="1"/>
    </xf>
    <xf numFmtId="180" fontId="73" fillId="0" borderId="4" xfId="73" applyNumberFormat="1" applyFont="1" applyFill="1" applyBorder="1" applyAlignment="1">
      <alignment vertical="center" wrapText="1"/>
    </xf>
    <xf numFmtId="0" fontId="74" fillId="0" borderId="7" xfId="58" applyFont="1" applyBorder="1" applyAlignment="1">
      <alignment vertical="center" wrapText="1"/>
    </xf>
    <xf numFmtId="164" fontId="74" fillId="0" borderId="7" xfId="73" applyFont="1" applyFill="1" applyBorder="1" applyAlignment="1">
      <alignment vertical="center" wrapText="1"/>
    </xf>
    <xf numFmtId="164" fontId="74" fillId="0" borderId="7" xfId="73" applyFont="1" applyBorder="1" applyAlignment="1">
      <alignment vertical="center" wrapText="1"/>
    </xf>
    <xf numFmtId="164" fontId="74" fillId="0" borderId="4" xfId="73" applyFont="1" applyBorder="1" applyAlignment="1">
      <alignment horizontal="center" vertical="center"/>
    </xf>
    <xf numFmtId="180" fontId="74" fillId="0" borderId="4" xfId="73" applyNumberFormat="1" applyFont="1" applyBorder="1" applyAlignment="1">
      <alignment horizontal="center" vertical="center"/>
    </xf>
    <xf numFmtId="164" fontId="74" fillId="0" borderId="4" xfId="73" applyFont="1" applyFill="1" applyBorder="1" applyAlignment="1">
      <alignment vertical="center" wrapText="1"/>
    </xf>
    <xf numFmtId="0" fontId="74" fillId="0" borderId="0" xfId="58" applyFont="1" applyAlignment="1">
      <alignment vertical="center"/>
    </xf>
    <xf numFmtId="0" fontId="74" fillId="0" borderId="0" xfId="58" applyFont="1" applyAlignment="1">
      <alignment vertical="center" wrapText="1"/>
    </xf>
    <xf numFmtId="164" fontId="74" fillId="0" borderId="0" xfId="73" applyFont="1" applyAlignment="1">
      <alignment horizontal="center" vertical="center"/>
    </xf>
    <xf numFmtId="0" fontId="74" fillId="0" borderId="0" xfId="58" applyFont="1" applyAlignment="1">
      <alignment horizontal="center" vertical="center"/>
    </xf>
    <xf numFmtId="180" fontId="74" fillId="0" borderId="0" xfId="73" applyNumberFormat="1" applyFont="1" applyAlignment="1">
      <alignment horizontal="center" vertical="center"/>
    </xf>
    <xf numFmtId="180" fontId="74" fillId="0" borderId="0" xfId="73" applyNumberFormat="1" applyFont="1" applyAlignment="1">
      <alignment vertical="center"/>
    </xf>
    <xf numFmtId="0" fontId="29" fillId="0" borderId="0" xfId="0" applyFont="1" applyAlignment="1">
      <alignment horizontal="center" vertical="center"/>
    </xf>
    <xf numFmtId="0" fontId="73" fillId="4" borderId="0" xfId="18" applyFont="1" applyFill="1"/>
    <xf numFmtId="0" fontId="73" fillId="4" borderId="0" xfId="18" applyFont="1" applyFill="1" applyAlignment="1">
      <alignment horizontal="center"/>
    </xf>
    <xf numFmtId="0" fontId="73" fillId="0" borderId="0" xfId="0" applyFont="1"/>
    <xf numFmtId="0" fontId="73" fillId="0" borderId="11" xfId="0" applyFont="1" applyBorder="1" applyAlignment="1">
      <alignment horizontal="center" vertical="center"/>
    </xf>
    <xf numFmtId="0" fontId="73" fillId="0" borderId="11" xfId="0" applyFont="1" applyBorder="1" applyAlignment="1">
      <alignment horizontal="right" vertical="center"/>
    </xf>
    <xf numFmtId="0" fontId="73" fillId="8" borderId="4" xfId="18" applyFont="1" applyFill="1" applyBorder="1" applyAlignment="1">
      <alignment horizontal="center"/>
    </xf>
    <xf numFmtId="0" fontId="73" fillId="0" borderId="4" xfId="0" applyFont="1" applyBorder="1" applyAlignment="1">
      <alignment horizontal="center" vertical="center"/>
    </xf>
    <xf numFmtId="0" fontId="37" fillId="0" borderId="4" xfId="0" applyFont="1" applyBorder="1" applyAlignment="1">
      <alignment horizontal="justify" vertical="center"/>
    </xf>
    <xf numFmtId="164" fontId="37" fillId="0" borderId="4" xfId="73" applyFont="1" applyFill="1" applyBorder="1" applyAlignment="1">
      <alignment vertical="center"/>
    </xf>
    <xf numFmtId="164" fontId="37" fillId="0" borderId="4" xfId="0" applyNumberFormat="1" applyFont="1" applyBorder="1" applyAlignment="1">
      <alignment vertical="center"/>
    </xf>
    <xf numFmtId="2" fontId="37" fillId="0" borderId="4" xfId="0" applyNumberFormat="1" applyFont="1" applyBorder="1" applyAlignment="1">
      <alignment vertical="center"/>
    </xf>
    <xf numFmtId="2" fontId="74" fillId="0" borderId="4" xfId="0" applyNumberFormat="1" applyFont="1" applyBorder="1" applyAlignment="1">
      <alignment vertical="center"/>
    </xf>
    <xf numFmtId="182" fontId="37" fillId="0" borderId="4" xfId="0" applyNumberFormat="1" applyFont="1" applyBorder="1" applyAlignment="1">
      <alignment vertical="center"/>
    </xf>
    <xf numFmtId="178" fontId="37" fillId="0" borderId="4" xfId="0" applyNumberFormat="1" applyFont="1" applyBorder="1" applyAlignment="1">
      <alignment vertical="center"/>
    </xf>
    <xf numFmtId="164" fontId="37" fillId="0" borderId="0" xfId="73" applyFont="1" applyAlignment="1">
      <alignment vertical="center"/>
    </xf>
    <xf numFmtId="0" fontId="119" fillId="0" borderId="4" xfId="0" applyFont="1" applyBorder="1" applyAlignment="1">
      <alignment horizontal="justify" vertical="center"/>
    </xf>
    <xf numFmtId="4" fontId="37" fillId="0" borderId="4" xfId="0" applyNumberFormat="1" applyFont="1" applyBorder="1" applyAlignment="1">
      <alignment vertical="center"/>
    </xf>
    <xf numFmtId="4" fontId="74" fillId="0" borderId="4" xfId="0" applyNumberFormat="1" applyFont="1" applyBorder="1" applyAlignment="1">
      <alignment horizontal="center" vertical="center"/>
    </xf>
    <xf numFmtId="0" fontId="74" fillId="0" borderId="4" xfId="0" applyFont="1" applyBorder="1" applyAlignment="1">
      <alignment vertical="center"/>
    </xf>
    <xf numFmtId="178" fontId="74" fillId="0" borderId="4" xfId="0" applyNumberFormat="1" applyFont="1" applyBorder="1" applyAlignment="1">
      <alignment vertical="center"/>
    </xf>
    <xf numFmtId="43" fontId="74" fillId="0" borderId="4" xfId="0" applyNumberFormat="1" applyFont="1" applyBorder="1" applyAlignment="1">
      <alignment horizontal="center" vertical="center"/>
    </xf>
    <xf numFmtId="0" fontId="73" fillId="0" borderId="4" xfId="57" applyFont="1" applyBorder="1" applyAlignment="1">
      <alignment vertical="center"/>
    </xf>
    <xf numFmtId="164" fontId="73" fillId="0" borderId="4" xfId="73" applyFont="1" applyFill="1" applyBorder="1" applyAlignment="1">
      <alignment horizontal="center"/>
    </xf>
    <xf numFmtId="0" fontId="74" fillId="0" borderId="0" xfId="57" applyFont="1" applyAlignment="1">
      <alignment vertical="center"/>
    </xf>
    <xf numFmtId="0" fontId="74" fillId="0" borderId="0" xfId="57" applyFont="1" applyAlignment="1">
      <alignment vertical="center" wrapText="1"/>
    </xf>
    <xf numFmtId="0" fontId="37" fillId="0" borderId="0" xfId="0" applyFont="1" applyAlignment="1">
      <alignment horizontal="left"/>
    </xf>
    <xf numFmtId="0" fontId="104" fillId="0" borderId="0" xfId="18" applyFont="1"/>
    <xf numFmtId="0" fontId="104" fillId="0" borderId="4" xfId="18" applyFont="1" applyBorder="1"/>
    <xf numFmtId="17" fontId="73" fillId="0" borderId="4" xfId="18" applyNumberFormat="1" applyFont="1" applyBorder="1" applyAlignment="1">
      <alignment horizontal="center"/>
    </xf>
    <xf numFmtId="0" fontId="105" fillId="0" borderId="4" xfId="0" applyFont="1" applyBorder="1" applyAlignment="1">
      <alignment vertical="center"/>
    </xf>
    <xf numFmtId="164" fontId="37" fillId="0" borderId="4" xfId="0" applyNumberFormat="1" applyFont="1" applyBorder="1"/>
    <xf numFmtId="164" fontId="37" fillId="0" borderId="4" xfId="73" applyFont="1" applyBorder="1"/>
    <xf numFmtId="187" fontId="105" fillId="0" borderId="4" xfId="0" applyNumberFormat="1" applyFont="1" applyBorder="1" applyAlignment="1">
      <alignment vertical="center"/>
    </xf>
    <xf numFmtId="187" fontId="37" fillId="0" borderId="4" xfId="0" applyNumberFormat="1" applyFont="1" applyBorder="1"/>
    <xf numFmtId="164" fontId="105" fillId="0" borderId="4" xfId="73" applyFont="1" applyFill="1" applyBorder="1" applyAlignment="1">
      <alignment vertical="center"/>
    </xf>
    <xf numFmtId="164" fontId="105" fillId="0" borderId="4" xfId="73" applyFont="1" applyBorder="1" applyAlignment="1">
      <alignment vertical="center"/>
    </xf>
    <xf numFmtId="10" fontId="105" fillId="0" borderId="4" xfId="59" applyNumberFormat="1" applyFont="1" applyBorder="1" applyAlignment="1">
      <alignment vertical="center"/>
    </xf>
    <xf numFmtId="0" fontId="102" fillId="0" borderId="4" xfId="0" applyFont="1" applyBorder="1" applyAlignment="1">
      <alignment vertical="center"/>
    </xf>
    <xf numFmtId="164" fontId="102" fillId="0" borderId="4" xfId="73" applyFont="1" applyBorder="1" applyAlignment="1">
      <alignment vertical="center"/>
    </xf>
    <xf numFmtId="164" fontId="29" fillId="0" borderId="4" xfId="0" applyNumberFormat="1" applyFont="1" applyBorder="1"/>
    <xf numFmtId="43" fontId="37" fillId="0" borderId="0" xfId="0" applyNumberFormat="1" applyFont="1"/>
    <xf numFmtId="164" fontId="29" fillId="0" borderId="17" xfId="0" applyNumberFormat="1" applyFont="1" applyBorder="1"/>
    <xf numFmtId="0" fontId="37" fillId="0" borderId="0" xfId="0" applyFont="1" applyAlignment="1">
      <alignment horizontal="center" vertical="center"/>
    </xf>
    <xf numFmtId="0" fontId="37" fillId="0" borderId="0" xfId="0" applyFont="1" applyAlignment="1">
      <alignment horizontal="center"/>
    </xf>
    <xf numFmtId="49" fontId="121" fillId="10" borderId="4" xfId="0" applyNumberFormat="1" applyFont="1" applyFill="1" applyBorder="1" applyAlignment="1">
      <alignment horizontal="center" vertical="center" wrapText="1"/>
    </xf>
    <xf numFmtId="14" fontId="122" fillId="0" borderId="4" xfId="0" applyNumberFormat="1" applyFont="1" applyBorder="1" applyAlignment="1">
      <alignment horizontal="center" vertical="center"/>
    </xf>
    <xf numFmtId="14" fontId="37" fillId="0" borderId="4" xfId="0" applyNumberFormat="1" applyFont="1" applyBorder="1"/>
    <xf numFmtId="43" fontId="37" fillId="0" borderId="4" xfId="118" applyFont="1" applyBorder="1"/>
    <xf numFmtId="188" fontId="37" fillId="0" borderId="4" xfId="0" applyNumberFormat="1" applyFont="1" applyBorder="1" applyAlignment="1">
      <alignment horizontal="center" vertical="center"/>
    </xf>
    <xf numFmtId="0" fontId="37" fillId="0" borderId="4" xfId="0" applyFont="1" applyBorder="1" applyAlignment="1">
      <alignment horizontal="center" vertical="center"/>
    </xf>
    <xf numFmtId="43" fontId="37" fillId="0" borderId="4" xfId="118" applyFont="1" applyFill="1" applyBorder="1"/>
    <xf numFmtId="10" fontId="122" fillId="5" borderId="4" xfId="0" applyNumberFormat="1" applyFont="1" applyFill="1" applyBorder="1" applyAlignment="1">
      <alignment horizontal="center" vertical="center"/>
    </xf>
    <xf numFmtId="43" fontId="37" fillId="0" borderId="4" xfId="0" applyNumberFormat="1" applyFont="1" applyBorder="1"/>
    <xf numFmtId="188" fontId="122" fillId="0" borderId="4" xfId="0" applyNumberFormat="1" applyFont="1" applyBorder="1" applyAlignment="1">
      <alignment horizontal="center" vertical="center"/>
    </xf>
    <xf numFmtId="0" fontId="29" fillId="0" borderId="4" xfId="0" applyFont="1" applyBorder="1" applyAlignment="1">
      <alignment horizontal="center" vertical="center"/>
    </xf>
    <xf numFmtId="43" fontId="29" fillId="0" borderId="4" xfId="0" applyNumberFormat="1" applyFont="1" applyBorder="1" applyAlignment="1">
      <alignment horizontal="center" vertical="center"/>
    </xf>
    <xf numFmtId="188" fontId="29" fillId="0" borderId="4" xfId="0" applyNumberFormat="1" applyFont="1" applyBorder="1" applyAlignment="1">
      <alignment horizontal="center" vertical="center"/>
    </xf>
    <xf numFmtId="0" fontId="73" fillId="0" borderId="0" xfId="18" applyFont="1" applyAlignment="1">
      <alignment horizontal="right"/>
    </xf>
    <xf numFmtId="0" fontId="74" fillId="0" borderId="0" xfId="0" applyFont="1" applyAlignment="1">
      <alignment horizontal="right" vertical="center" wrapText="1"/>
    </xf>
    <xf numFmtId="0" fontId="123" fillId="9" borderId="4" xfId="0" applyFont="1" applyFill="1" applyBorder="1" applyAlignment="1">
      <alignment horizontal="center" vertical="center"/>
    </xf>
    <xf numFmtId="0" fontId="29" fillId="8" borderId="4" xfId="0" applyFont="1" applyFill="1" applyBorder="1" applyAlignment="1">
      <alignment vertical="center"/>
    </xf>
    <xf numFmtId="0" fontId="73" fillId="8" borderId="4" xfId="115" applyFont="1" applyFill="1" applyBorder="1" applyAlignment="1">
      <alignment horizontal="center" vertical="center" wrapText="1"/>
    </xf>
    <xf numFmtId="0" fontId="29" fillId="8" borderId="4" xfId="0" applyFont="1" applyFill="1" applyBorder="1" applyAlignment="1">
      <alignment horizontal="center" vertical="center" wrapText="1"/>
    </xf>
    <xf numFmtId="0" fontId="73" fillId="0" borderId="4" xfId="18" applyFont="1" applyBorder="1" applyAlignment="1">
      <alignment wrapText="1"/>
    </xf>
    <xf numFmtId="9" fontId="124" fillId="0" borderId="4" xfId="0" applyNumberFormat="1" applyFont="1" applyBorder="1" applyAlignment="1">
      <alignment horizontal="right" vertical="center"/>
    </xf>
    <xf numFmtId="0" fontId="124" fillId="0" borderId="4" xfId="0" applyFont="1" applyBorder="1" applyAlignment="1">
      <alignment horizontal="right" vertical="center"/>
    </xf>
    <xf numFmtId="0" fontId="124" fillId="0" borderId="4" xfId="0" applyFont="1" applyBorder="1" applyAlignment="1">
      <alignment horizontal="center" vertical="center"/>
    </xf>
    <xf numFmtId="2" fontId="37" fillId="5" borderId="4" xfId="0" applyNumberFormat="1" applyFont="1" applyFill="1" applyBorder="1" applyAlignment="1">
      <alignment horizontal="center" vertical="center"/>
    </xf>
    <xf numFmtId="0" fontId="74" fillId="0" borderId="4" xfId="18" applyFont="1" applyBorder="1" applyAlignment="1">
      <alignment wrapText="1"/>
    </xf>
    <xf numFmtId="9" fontId="124" fillId="0" borderId="4" xfId="59" applyFont="1" applyBorder="1" applyAlignment="1">
      <alignment horizontal="right" vertical="center"/>
    </xf>
    <xf numFmtId="164" fontId="124" fillId="0" borderId="4" xfId="73" applyFont="1" applyBorder="1" applyAlignment="1">
      <alignment horizontal="right" vertical="center"/>
    </xf>
    <xf numFmtId="164" fontId="37" fillId="5" borderId="4" xfId="73" applyFont="1" applyFill="1" applyBorder="1" applyAlignment="1">
      <alignment horizontal="center" vertical="center"/>
    </xf>
    <xf numFmtId="9" fontId="120" fillId="0" borderId="4" xfId="59" applyFont="1" applyBorder="1" applyAlignment="1">
      <alignment vertical="center"/>
    </xf>
    <xf numFmtId="164" fontId="29" fillId="5" borderId="4" xfId="73" applyFont="1" applyFill="1" applyBorder="1" applyAlignment="1">
      <alignment horizontal="center" vertical="center"/>
    </xf>
    <xf numFmtId="9" fontId="125" fillId="0" borderId="4" xfId="59" applyFont="1" applyBorder="1" applyAlignment="1">
      <alignment vertical="center"/>
    </xf>
    <xf numFmtId="0" fontId="74" fillId="0" borderId="7" xfId="18" applyFont="1" applyBorder="1" applyAlignment="1">
      <alignment wrapText="1"/>
    </xf>
    <xf numFmtId="9" fontId="37" fillId="0" borderId="4" xfId="59" applyFont="1" applyBorder="1"/>
    <xf numFmtId="0" fontId="74" fillId="0" borderId="4" xfId="18" applyFont="1" applyBorder="1" applyAlignment="1">
      <alignment vertical="center" wrapText="1"/>
    </xf>
    <xf numFmtId="9" fontId="123" fillId="0" borderId="4" xfId="59" applyFont="1" applyBorder="1" applyAlignment="1">
      <alignment horizontal="right" vertical="center"/>
    </xf>
    <xf numFmtId="164" fontId="29" fillId="0" borderId="4" xfId="73" applyFont="1" applyBorder="1"/>
    <xf numFmtId="164" fontId="73" fillId="0" borderId="4" xfId="73" applyFont="1" applyBorder="1" applyAlignment="1">
      <alignment horizontal="left" wrapText="1"/>
    </xf>
    <xf numFmtId="164" fontId="73" fillId="0" borderId="4" xfId="73" applyFont="1" applyBorder="1" applyAlignment="1">
      <alignment wrapText="1"/>
    </xf>
    <xf numFmtId="0" fontId="126" fillId="0" borderId="4" xfId="0" applyFont="1" applyBorder="1" applyAlignment="1">
      <alignment horizontal="justify" vertical="center" wrapText="1"/>
    </xf>
    <xf numFmtId="43" fontId="29" fillId="0" borderId="4" xfId="0" applyNumberFormat="1" applyFont="1" applyBorder="1"/>
    <xf numFmtId="164" fontId="73" fillId="0" borderId="4" xfId="73" applyFont="1" applyBorder="1" applyAlignment="1">
      <alignment horizontal="left"/>
    </xf>
    <xf numFmtId="0" fontId="48" fillId="0" borderId="0" xfId="18" applyFont="1" applyAlignment="1">
      <alignment horizontal="left"/>
    </xf>
    <xf numFmtId="0" fontId="127" fillId="0" borderId="0" xfId="0" applyFont="1"/>
    <xf numFmtId="0" fontId="128" fillId="0" borderId="0" xfId="0" applyFont="1" applyAlignment="1">
      <alignment vertical="center"/>
    </xf>
    <xf numFmtId="0" fontId="128" fillId="0" borderId="0" xfId="0" applyFont="1" applyAlignment="1">
      <alignment horizontal="left"/>
    </xf>
    <xf numFmtId="0" fontId="128" fillId="4" borderId="0" xfId="0" applyFont="1" applyFill="1"/>
    <xf numFmtId="0" fontId="48" fillId="4" borderId="0" xfId="18" applyFont="1" applyFill="1" applyAlignment="1">
      <alignment horizontal="center"/>
    </xf>
    <xf numFmtId="0" fontId="129" fillId="17" borderId="4" xfId="0" applyFont="1" applyFill="1" applyBorder="1" applyAlignment="1">
      <alignment horizontal="center" vertical="center"/>
    </xf>
    <xf numFmtId="0" fontId="48" fillId="17" borderId="4" xfId="120" applyFont="1" applyFill="1" applyBorder="1" applyAlignment="1">
      <alignment horizontal="center" vertical="center" wrapText="1"/>
    </xf>
    <xf numFmtId="0" fontId="129" fillId="0" borderId="4" xfId="0" applyFont="1" applyBorder="1" applyAlignment="1">
      <alignment horizontal="center" vertical="center" wrapText="1"/>
    </xf>
    <xf numFmtId="0" fontId="127" fillId="0" borderId="4" xfId="0" applyFont="1" applyBorder="1" applyAlignment="1">
      <alignment wrapText="1"/>
    </xf>
    <xf numFmtId="0" fontId="127" fillId="0" borderId="4" xfId="0" applyFont="1" applyBorder="1" applyAlignment="1">
      <alignment horizontal="center"/>
    </xf>
    <xf numFmtId="164" fontId="127" fillId="0" borderId="4" xfId="73" applyFont="1" applyBorder="1"/>
    <xf numFmtId="0" fontId="127" fillId="22" borderId="0" xfId="0" applyFont="1" applyFill="1" applyAlignment="1">
      <alignment horizontal="left" vertical="center"/>
    </xf>
    <xf numFmtId="2" fontId="127" fillId="22" borderId="0" xfId="0" applyNumberFormat="1" applyFont="1" applyFill="1" applyAlignment="1">
      <alignment horizontal="right" vertical="center"/>
    </xf>
    <xf numFmtId="0" fontId="130" fillId="0" borderId="4" xfId="0" applyFont="1" applyBorder="1" applyAlignment="1">
      <alignment horizontal="left" vertical="center" wrapText="1"/>
    </xf>
    <xf numFmtId="43" fontId="127" fillId="0" borderId="4" xfId="0" applyNumberFormat="1" applyFont="1" applyBorder="1" applyAlignment="1">
      <alignment vertical="center"/>
    </xf>
    <xf numFmtId="0" fontId="130" fillId="14" borderId="28" xfId="0" applyFont="1" applyFill="1" applyBorder="1" applyAlignment="1">
      <alignment vertical="center"/>
    </xf>
    <xf numFmtId="0" fontId="131" fillId="14" borderId="8" xfId="0" applyFont="1" applyFill="1" applyBorder="1" applyAlignment="1">
      <alignment vertical="center"/>
    </xf>
    <xf numFmtId="0" fontId="131" fillId="14" borderId="29" xfId="0" applyFont="1" applyFill="1" applyBorder="1" applyAlignment="1">
      <alignment horizontal="left" vertical="center"/>
    </xf>
    <xf numFmtId="0" fontId="127" fillId="0" borderId="4" xfId="0" applyFont="1" applyBorder="1"/>
    <xf numFmtId="0" fontId="130" fillId="0" borderId="30" xfId="0" applyFont="1" applyBorder="1" applyAlignment="1">
      <alignment vertical="center"/>
    </xf>
    <xf numFmtId="0" fontId="131" fillId="0" borderId="6" xfId="0" applyFont="1" applyBorder="1" applyAlignment="1">
      <alignment vertical="center"/>
    </xf>
    <xf numFmtId="0" fontId="130" fillId="0" borderId="31" xfId="0" applyFont="1" applyBorder="1" applyAlignment="1">
      <alignment horizontal="right" vertical="center"/>
    </xf>
    <xf numFmtId="180" fontId="127" fillId="0" borderId="4" xfId="73" applyNumberFormat="1" applyFont="1" applyBorder="1"/>
    <xf numFmtId="2" fontId="127" fillId="0" borderId="0" xfId="0" applyNumberFormat="1" applyFont="1"/>
    <xf numFmtId="181" fontId="127" fillId="0" borderId="0" xfId="0" applyNumberFormat="1" applyFont="1"/>
    <xf numFmtId="0" fontId="132" fillId="0" borderId="30" xfId="0" applyFont="1" applyBorder="1" applyAlignment="1">
      <alignment horizontal="center" vertical="center" wrapText="1"/>
    </xf>
    <xf numFmtId="0" fontId="130" fillId="23" borderId="6" xfId="0" applyFont="1" applyFill="1" applyBorder="1" applyAlignment="1">
      <alignment vertical="center" wrapText="1"/>
    </xf>
    <xf numFmtId="2" fontId="130" fillId="23" borderId="31" xfId="0" applyNumberFormat="1" applyFont="1" applyFill="1" applyBorder="1" applyAlignment="1">
      <alignment horizontal="right" vertical="center"/>
    </xf>
    <xf numFmtId="0" fontId="130" fillId="24" borderId="6" xfId="0" applyFont="1" applyFill="1" applyBorder="1" applyAlignment="1">
      <alignment vertical="center" wrapText="1"/>
    </xf>
    <xf numFmtId="2" fontId="130" fillId="24" borderId="31" xfId="0" applyNumberFormat="1" applyFont="1" applyFill="1" applyBorder="1" applyAlignment="1">
      <alignment horizontal="right" vertical="center"/>
    </xf>
    <xf numFmtId="0" fontId="127" fillId="0" borderId="0" xfId="0" applyFont="1" applyAlignment="1">
      <alignment vertical="center"/>
    </xf>
    <xf numFmtId="2" fontId="127" fillId="0" borderId="0" xfId="0" applyNumberFormat="1" applyFont="1" applyAlignment="1">
      <alignment vertical="center"/>
    </xf>
    <xf numFmtId="0" fontId="130" fillId="0" borderId="6" xfId="0" applyFont="1" applyBorder="1" applyAlignment="1">
      <alignment vertical="center" wrapText="1"/>
    </xf>
    <xf numFmtId="4" fontId="130" fillId="0" borderId="31" xfId="0" applyNumberFormat="1" applyFont="1" applyBorder="1" applyAlignment="1">
      <alignment horizontal="right" vertical="center"/>
    </xf>
    <xf numFmtId="9" fontId="127" fillId="0" borderId="0" xfId="0" applyNumberFormat="1" applyFont="1" applyAlignment="1">
      <alignment vertical="center"/>
    </xf>
    <xf numFmtId="0" fontId="127" fillId="0" borderId="7" xfId="0" applyFont="1" applyBorder="1"/>
    <xf numFmtId="0" fontId="127" fillId="0" borderId="7" xfId="0" applyFont="1" applyBorder="1" applyAlignment="1">
      <alignment horizontal="center"/>
    </xf>
    <xf numFmtId="164" fontId="127" fillId="0" borderId="7" xfId="73" applyFont="1" applyBorder="1" applyAlignment="1">
      <alignment vertical="center"/>
    </xf>
    <xf numFmtId="0" fontId="130" fillId="6" borderId="6" xfId="0" applyFont="1" applyFill="1" applyBorder="1" applyAlignment="1">
      <alignment vertical="center" wrapText="1"/>
    </xf>
    <xf numFmtId="4" fontId="130" fillId="6" borderId="31" xfId="0" applyNumberFormat="1" applyFont="1" applyFill="1" applyBorder="1" applyAlignment="1">
      <alignment horizontal="right" vertical="center"/>
    </xf>
    <xf numFmtId="164" fontId="127" fillId="0" borderId="0" xfId="73" applyFont="1"/>
    <xf numFmtId="10" fontId="127" fillId="0" borderId="0" xfId="59" applyNumberFormat="1" applyFont="1"/>
    <xf numFmtId="164" fontId="127" fillId="0" borderId="4" xfId="73" applyFont="1" applyBorder="1" applyAlignment="1">
      <alignment vertical="center"/>
    </xf>
    <xf numFmtId="0" fontId="133" fillId="0" borderId="30" xfId="0" applyFont="1" applyBorder="1" applyAlignment="1">
      <alignment horizontal="center" vertical="center" wrapText="1"/>
    </xf>
    <xf numFmtId="0" fontId="131" fillId="0" borderId="6" xfId="0" applyFont="1" applyBorder="1" applyAlignment="1">
      <alignment vertical="center" wrapText="1"/>
    </xf>
    <xf numFmtId="10" fontId="130" fillId="0" borderId="31" xfId="59" applyNumberFormat="1" applyFont="1" applyFill="1" applyBorder="1" applyAlignment="1">
      <alignment horizontal="right" vertical="center"/>
    </xf>
    <xf numFmtId="9" fontId="127" fillId="0" borderId="0" xfId="0" applyNumberFormat="1" applyFont="1"/>
    <xf numFmtId="180" fontId="127" fillId="0" borderId="4" xfId="73" applyNumberFormat="1" applyFont="1" applyBorder="1" applyAlignment="1">
      <alignment vertical="center"/>
    </xf>
    <xf numFmtId="0" fontId="131" fillId="25" borderId="6" xfId="0" applyFont="1" applyFill="1" applyBorder="1" applyAlignment="1">
      <alignment vertical="center"/>
    </xf>
    <xf numFmtId="182" fontId="127" fillId="0" borderId="0" xfId="0" applyNumberFormat="1" applyFont="1"/>
    <xf numFmtId="2" fontId="130" fillId="0" borderId="31" xfId="0" applyNumberFormat="1" applyFont="1" applyBorder="1" applyAlignment="1">
      <alignment horizontal="right" vertical="center"/>
    </xf>
    <xf numFmtId="180" fontId="127" fillId="20" borderId="4" xfId="73" applyNumberFormat="1" applyFont="1" applyFill="1" applyBorder="1"/>
    <xf numFmtId="0" fontId="127" fillId="20" borderId="0" xfId="0" applyFont="1" applyFill="1"/>
    <xf numFmtId="0" fontId="134" fillId="20" borderId="4" xfId="0" applyFont="1" applyFill="1" applyBorder="1"/>
    <xf numFmtId="0" fontId="134" fillId="20" borderId="4" xfId="0" applyFont="1" applyFill="1" applyBorder="1" applyAlignment="1">
      <alignment horizontal="center"/>
    </xf>
    <xf numFmtId="180" fontId="134" fillId="20" borderId="4" xfId="73" applyNumberFormat="1" applyFont="1" applyFill="1" applyBorder="1"/>
    <xf numFmtId="0" fontId="127" fillId="0" borderId="22" xfId="0" applyFont="1" applyBorder="1"/>
    <xf numFmtId="180" fontId="127" fillId="0" borderId="4" xfId="0" applyNumberFormat="1" applyFont="1" applyBorder="1"/>
    <xf numFmtId="0" fontId="129" fillId="0" borderId="4" xfId="0" applyFont="1" applyBorder="1"/>
    <xf numFmtId="0" fontId="129" fillId="0" borderId="0" xfId="0" applyFont="1"/>
    <xf numFmtId="0" fontId="129" fillId="26" borderId="22" xfId="0" applyFont="1" applyFill="1" applyBorder="1"/>
    <xf numFmtId="0" fontId="129" fillId="26" borderId="34" xfId="0" applyFont="1" applyFill="1" applyBorder="1"/>
    <xf numFmtId="0" fontId="127" fillId="0" borderId="36" xfId="0" applyFont="1" applyBorder="1"/>
    <xf numFmtId="10" fontId="127" fillId="23" borderId="4" xfId="59" applyNumberFormat="1" applyFont="1" applyFill="1" applyBorder="1" applyAlignment="1">
      <alignment vertical="center" wrapText="1"/>
    </xf>
    <xf numFmtId="10" fontId="136" fillId="27" borderId="4" xfId="0" applyNumberFormat="1" applyFont="1" applyFill="1" applyBorder="1" applyAlignment="1">
      <alignment horizontal="center" vertical="center"/>
    </xf>
    <xf numFmtId="10" fontId="127" fillId="0" borderId="0" xfId="0" applyNumberFormat="1" applyFont="1" applyAlignment="1">
      <alignment horizontal="center" vertical="center"/>
    </xf>
    <xf numFmtId="164" fontId="127" fillId="0" borderId="6" xfId="73" applyFont="1" applyBorder="1"/>
    <xf numFmtId="10" fontId="127" fillId="24" borderId="4" xfId="59" applyNumberFormat="1" applyFont="1" applyFill="1" applyBorder="1" applyAlignment="1">
      <alignment horizontal="right" vertical="center" wrapText="1"/>
    </xf>
    <xf numFmtId="10" fontId="127" fillId="0" borderId="0" xfId="0" applyNumberFormat="1" applyFont="1" applyAlignment="1">
      <alignment vertical="center"/>
    </xf>
    <xf numFmtId="164" fontId="129" fillId="20" borderId="6" xfId="73" applyFont="1" applyFill="1" applyBorder="1"/>
    <xf numFmtId="10" fontId="129" fillId="27" borderId="4" xfId="0" applyNumberFormat="1" applyFont="1" applyFill="1" applyBorder="1" applyAlignment="1">
      <alignment horizontal="center" vertical="center"/>
    </xf>
    <xf numFmtId="10" fontId="129" fillId="0" borderId="0" xfId="0" applyNumberFormat="1" applyFont="1" applyAlignment="1">
      <alignment horizontal="center" vertical="center"/>
    </xf>
    <xf numFmtId="2" fontId="127" fillId="0" borderId="22" xfId="0" applyNumberFormat="1" applyFont="1" applyBorder="1"/>
    <xf numFmtId="10" fontId="127" fillId="0" borderId="22" xfId="0" applyNumberFormat="1" applyFont="1" applyBorder="1"/>
    <xf numFmtId="43" fontId="131" fillId="0" borderId="31" xfId="121" applyFont="1" applyFill="1" applyBorder="1" applyAlignment="1">
      <alignment horizontal="right" vertical="center"/>
    </xf>
    <xf numFmtId="0" fontId="132" fillId="0" borderId="37" xfId="0" applyFont="1" applyBorder="1" applyAlignment="1">
      <alignment horizontal="center" vertical="center" wrapText="1"/>
    </xf>
    <xf numFmtId="0" fontId="131" fillId="0" borderId="38" xfId="0" applyFont="1" applyBorder="1" applyAlignment="1">
      <alignment vertical="center" wrapText="1"/>
    </xf>
    <xf numFmtId="10" fontId="131" fillId="0" borderId="39" xfId="59" applyNumberFormat="1" applyFont="1" applyFill="1" applyBorder="1" applyAlignment="1">
      <alignment horizontal="right" vertical="center"/>
    </xf>
    <xf numFmtId="10" fontId="127" fillId="20" borderId="22" xfId="59" applyNumberFormat="1" applyFont="1" applyFill="1" applyBorder="1"/>
    <xf numFmtId="0" fontId="127" fillId="0" borderId="40" xfId="0" applyFont="1" applyBorder="1"/>
    <xf numFmtId="164" fontId="127" fillId="0" borderId="22" xfId="0" applyNumberFormat="1" applyFont="1" applyBorder="1"/>
    <xf numFmtId="0" fontId="127" fillId="0" borderId="41" xfId="0" applyFont="1" applyBorder="1"/>
    <xf numFmtId="164" fontId="127" fillId="0" borderId="41" xfId="0" applyNumberFormat="1" applyFont="1" applyBorder="1"/>
    <xf numFmtId="164" fontId="127" fillId="0" borderId="0" xfId="0" applyNumberFormat="1" applyFont="1"/>
    <xf numFmtId="0" fontId="129" fillId="18" borderId="33" xfId="122" applyFont="1" applyFill="1" applyBorder="1" applyAlignment="1">
      <alignment vertical="center"/>
    </xf>
    <xf numFmtId="0" fontId="129" fillId="18" borderId="35" xfId="122" applyFont="1" applyFill="1" applyBorder="1" applyAlignment="1">
      <alignment horizontal="center" vertical="center"/>
    </xf>
    <xf numFmtId="0" fontId="129" fillId="18" borderId="42" xfId="122" applyFont="1" applyFill="1" applyBorder="1" applyAlignment="1">
      <alignment horizontal="center" vertical="center" wrapText="1"/>
    </xf>
    <xf numFmtId="0" fontId="129" fillId="0" borderId="43" xfId="122" applyFont="1" applyBorder="1" applyAlignment="1">
      <alignment horizontal="left" vertical="center"/>
    </xf>
    <xf numFmtId="0" fontId="129" fillId="0" borderId="44" xfId="122" applyFont="1" applyBorder="1" applyAlignment="1">
      <alignment horizontal="center" vertical="center"/>
    </xf>
    <xf numFmtId="0" fontId="129" fillId="0" borderId="45" xfId="122" applyFont="1" applyBorder="1" applyAlignment="1">
      <alignment horizontal="center" vertical="center"/>
    </xf>
    <xf numFmtId="164" fontId="129" fillId="0" borderId="4" xfId="73" applyFont="1" applyFill="1" applyBorder="1" applyAlignment="1">
      <alignment horizontal="right" vertical="center"/>
    </xf>
    <xf numFmtId="0" fontId="127" fillId="0" borderId="46" xfId="122" applyFont="1" applyBorder="1" applyAlignment="1">
      <alignment horizontal="left" vertical="center"/>
    </xf>
    <xf numFmtId="0" fontId="127" fillId="0" borderId="47" xfId="122" applyFont="1" applyBorder="1" applyAlignment="1">
      <alignment horizontal="center" vertical="center"/>
    </xf>
    <xf numFmtId="0" fontId="127" fillId="0" borderId="48" xfId="122" applyFont="1" applyBorder="1" applyAlignment="1">
      <alignment horizontal="center" vertical="center"/>
    </xf>
    <xf numFmtId="10" fontId="127" fillId="0" borderId="4" xfId="59" applyNumberFormat="1" applyFont="1" applyBorder="1" applyAlignment="1">
      <alignment horizontal="right" vertical="center"/>
    </xf>
    <xf numFmtId="164" fontId="127" fillId="0" borderId="4" xfId="73" applyFont="1" applyFill="1" applyBorder="1" applyAlignment="1">
      <alignment horizontal="right" vertical="center"/>
    </xf>
    <xf numFmtId="0" fontId="48" fillId="0" borderId="46" xfId="122" applyFont="1" applyBorder="1" applyAlignment="1">
      <alignment horizontal="left" vertical="center"/>
    </xf>
    <xf numFmtId="0" fontId="48" fillId="0" borderId="47" xfId="122" applyFont="1" applyBorder="1" applyAlignment="1">
      <alignment horizontal="center" vertical="center" wrapText="1"/>
    </xf>
    <xf numFmtId="0" fontId="48" fillId="0" borderId="48" xfId="122" applyFont="1" applyBorder="1" applyAlignment="1">
      <alignment horizontal="center" vertical="center" wrapText="1"/>
    </xf>
    <xf numFmtId="0" fontId="134" fillId="28" borderId="47" xfId="122" applyFont="1" applyFill="1" applyBorder="1" applyAlignment="1">
      <alignment horizontal="center" vertical="center" wrapText="1"/>
    </xf>
    <xf numFmtId="0" fontId="134" fillId="28" borderId="48" xfId="122" applyFont="1" applyFill="1" applyBorder="1" applyAlignment="1">
      <alignment horizontal="center" vertical="center" wrapText="1"/>
    </xf>
    <xf numFmtId="164" fontId="127" fillId="28" borderId="4" xfId="73" applyFont="1" applyFill="1" applyBorder="1" applyAlignment="1">
      <alignment horizontal="right" vertical="center"/>
    </xf>
    <xf numFmtId="0" fontId="134" fillId="0" borderId="47" xfId="122" applyFont="1" applyBorder="1" applyAlignment="1">
      <alignment horizontal="center" vertical="center" wrapText="1"/>
    </xf>
    <xf numFmtId="0" fontId="134" fillId="0" borderId="48" xfId="122" applyFont="1" applyBorder="1" applyAlignment="1">
      <alignment horizontal="center" vertical="center" wrapText="1"/>
    </xf>
    <xf numFmtId="10" fontId="127" fillId="29" borderId="0" xfId="59" applyNumberFormat="1" applyFont="1" applyFill="1" applyBorder="1"/>
    <xf numFmtId="10" fontId="127" fillId="30" borderId="4" xfId="0" applyNumberFormat="1" applyFont="1" applyFill="1" applyBorder="1"/>
    <xf numFmtId="0" fontId="134" fillId="28" borderId="50" xfId="122" applyFont="1" applyFill="1" applyBorder="1" applyAlignment="1">
      <alignment horizontal="center" vertical="center" wrapText="1"/>
    </xf>
    <xf numFmtId="0" fontId="134" fillId="28" borderId="51" xfId="122" applyFont="1" applyFill="1" applyBorder="1" applyAlignment="1">
      <alignment horizontal="center" vertical="center" wrapText="1"/>
    </xf>
    <xf numFmtId="0" fontId="48" fillId="0" borderId="2" xfId="122" applyFont="1" applyBorder="1" applyAlignment="1">
      <alignment horizontal="center" vertical="center" wrapText="1"/>
    </xf>
    <xf numFmtId="0" fontId="48" fillId="0" borderId="53" xfId="122" applyFont="1" applyBorder="1" applyAlignment="1">
      <alignment horizontal="center" vertical="center" wrapText="1"/>
    </xf>
    <xf numFmtId="164" fontId="129" fillId="0" borderId="0" xfId="0" applyNumberFormat="1" applyFont="1"/>
    <xf numFmtId="0" fontId="129" fillId="18" borderId="4" xfId="122" applyFont="1" applyFill="1" applyBorder="1" applyAlignment="1">
      <alignment vertical="center"/>
    </xf>
    <xf numFmtId="0" fontId="129" fillId="18" borderId="4" xfId="122" applyFont="1" applyFill="1" applyBorder="1" applyAlignment="1">
      <alignment horizontal="center" vertical="center"/>
    </xf>
    <xf numFmtId="0" fontId="129" fillId="18" borderId="4" xfId="122" applyFont="1" applyFill="1" applyBorder="1" applyAlignment="1">
      <alignment horizontal="center" vertical="center" wrapText="1"/>
    </xf>
    <xf numFmtId="164" fontId="127" fillId="0" borderId="4" xfId="0" applyNumberFormat="1" applyFont="1" applyBorder="1"/>
    <xf numFmtId="164" fontId="129" fillId="0" borderId="4" xfId="0" applyNumberFormat="1" applyFont="1" applyBorder="1"/>
    <xf numFmtId="0" fontId="129" fillId="26" borderId="22" xfId="0" applyFont="1" applyFill="1" applyBorder="1" applyAlignment="1">
      <alignment vertical="center"/>
    </xf>
    <xf numFmtId="0" fontId="129" fillId="26" borderId="22" xfId="0" applyFont="1" applyFill="1" applyBorder="1" applyAlignment="1">
      <alignment vertical="center" wrapText="1"/>
    </xf>
    <xf numFmtId="0" fontId="129" fillId="26" borderId="22" xfId="0" applyFont="1" applyFill="1" applyBorder="1" applyAlignment="1">
      <alignment wrapText="1"/>
    </xf>
    <xf numFmtId="2" fontId="130" fillId="0" borderId="4" xfId="0" applyNumberFormat="1" applyFont="1" applyBorder="1" applyAlignment="1">
      <alignment horizontal="center" vertical="center" wrapText="1"/>
    </xf>
    <xf numFmtId="10" fontId="127" fillId="0" borderId="22" xfId="59" applyNumberFormat="1" applyFont="1" applyBorder="1"/>
    <xf numFmtId="0" fontId="134" fillId="0" borderId="22" xfId="0" applyFont="1" applyBorder="1"/>
    <xf numFmtId="2" fontId="134" fillId="0" borderId="4" xfId="0" applyNumberFormat="1" applyFont="1" applyBorder="1" applyAlignment="1">
      <alignment horizontal="center" vertical="center" wrapText="1"/>
    </xf>
    <xf numFmtId="2" fontId="134" fillId="0" borderId="22" xfId="0" applyNumberFormat="1" applyFont="1" applyBorder="1"/>
    <xf numFmtId="10" fontId="134" fillId="0" borderId="22" xfId="59" applyNumberFormat="1" applyFont="1" applyFill="1" applyBorder="1"/>
    <xf numFmtId="0" fontId="134" fillId="0" borderId="0" xfId="0" applyFont="1"/>
    <xf numFmtId="0" fontId="129" fillId="26" borderId="36" xfId="0" applyFont="1" applyFill="1" applyBorder="1" applyAlignment="1">
      <alignment wrapText="1"/>
    </xf>
    <xf numFmtId="2" fontId="127" fillId="0" borderId="4" xfId="0" applyNumberFormat="1" applyFont="1" applyBorder="1" applyAlignment="1">
      <alignment horizontal="center" vertical="center"/>
    </xf>
    <xf numFmtId="2" fontId="134" fillId="5" borderId="22" xfId="0" applyNumberFormat="1" applyFont="1" applyFill="1" applyBorder="1"/>
    <xf numFmtId="0" fontId="131" fillId="31" borderId="4" xfId="0" applyFont="1" applyFill="1" applyBorder="1" applyAlignment="1">
      <alignment horizontal="center" vertical="center"/>
    </xf>
    <xf numFmtId="0" fontId="131" fillId="31" borderId="4" xfId="0" applyFont="1" applyFill="1" applyBorder="1" applyAlignment="1">
      <alignment horizontal="center" vertical="center" wrapText="1"/>
    </xf>
    <xf numFmtId="0" fontId="131" fillId="32" borderId="4" xfId="0" applyFont="1" applyFill="1" applyBorder="1" applyAlignment="1">
      <alignment horizontal="center" vertical="center" wrapText="1"/>
    </xf>
    <xf numFmtId="10" fontId="130" fillId="0" borderId="4" xfId="59" applyNumberFormat="1" applyFont="1" applyFill="1" applyBorder="1" applyAlignment="1">
      <alignment horizontal="center" vertical="center" wrapText="1"/>
    </xf>
    <xf numFmtId="0" fontId="127" fillId="5" borderId="0" xfId="0" applyFont="1" applyFill="1"/>
    <xf numFmtId="0" fontId="130" fillId="0" borderId="0" xfId="0" applyFont="1" applyAlignment="1">
      <alignment horizontal="left" vertical="top"/>
    </xf>
    <xf numFmtId="2" fontId="130" fillId="0" borderId="0" xfId="0" applyNumberFormat="1" applyFont="1" applyAlignment="1">
      <alignment horizontal="center" vertical="center" wrapText="1"/>
    </xf>
    <xf numFmtId="2" fontId="131" fillId="0" borderId="0" xfId="0" applyNumberFormat="1" applyFont="1" applyAlignment="1">
      <alignment horizontal="center" vertical="center" wrapText="1"/>
    </xf>
    <xf numFmtId="2" fontId="127" fillId="0" borderId="0" xfId="0" applyNumberFormat="1" applyFont="1" applyAlignment="1">
      <alignment horizontal="center" vertical="center"/>
    </xf>
    <xf numFmtId="0" fontId="131" fillId="0" borderId="0" xfId="0" applyFont="1" applyAlignment="1">
      <alignment horizontal="left" vertical="top"/>
    </xf>
    <xf numFmtId="0" fontId="129" fillId="32" borderId="4" xfId="0" applyFont="1" applyFill="1" applyBorder="1" applyAlignment="1">
      <alignment horizontal="center" vertical="center" wrapText="1"/>
    </xf>
    <xf numFmtId="0" fontId="130" fillId="0" borderId="4" xfId="0" applyFont="1" applyBorder="1" applyAlignment="1">
      <alignment horizontal="left" vertical="top"/>
    </xf>
    <xf numFmtId="2" fontId="129" fillId="27" borderId="4" xfId="0" applyNumberFormat="1" applyFont="1" applyFill="1" applyBorder="1" applyAlignment="1">
      <alignment horizontal="center" vertical="center"/>
    </xf>
    <xf numFmtId="0" fontId="127" fillId="0" borderId="36" xfId="0" applyFont="1" applyBorder="1" applyAlignment="1">
      <alignment wrapText="1"/>
    </xf>
    <xf numFmtId="0" fontId="134" fillId="28" borderId="46" xfId="122" applyFont="1" applyFill="1" applyBorder="1" applyAlignment="1">
      <alignment horizontal="left" vertical="center" wrapText="1"/>
    </xf>
    <xf numFmtId="0" fontId="134" fillId="0" borderId="46" xfId="122" applyFont="1" applyBorder="1" applyAlignment="1">
      <alignment horizontal="left" vertical="center" wrapText="1"/>
    </xf>
    <xf numFmtId="0" fontId="134" fillId="28" borderId="49" xfId="122" applyFont="1" applyFill="1" applyBorder="1" applyAlignment="1">
      <alignment horizontal="left" vertical="center" wrapText="1"/>
    </xf>
    <xf numFmtId="0" fontId="129" fillId="0" borderId="52" xfId="0" applyFont="1" applyBorder="1" applyAlignment="1">
      <alignment horizontal="left" vertical="center" wrapText="1"/>
    </xf>
    <xf numFmtId="0" fontId="59" fillId="26" borderId="4" xfId="0" applyFont="1" applyFill="1" applyBorder="1" applyAlignment="1">
      <alignment vertical="center"/>
    </xf>
    <xf numFmtId="0" fontId="75" fillId="34" borderId="11" xfId="0" applyFont="1" applyFill="1" applyBorder="1" applyAlignment="1">
      <alignment vertical="center" wrapText="1"/>
    </xf>
    <xf numFmtId="0" fontId="61" fillId="35" borderId="4" xfId="0" applyFont="1" applyFill="1" applyBorder="1" applyAlignment="1">
      <alignment horizontal="center" vertical="center" wrapText="1"/>
    </xf>
    <xf numFmtId="0" fontId="59" fillId="35" borderId="4" xfId="0" applyFont="1" applyFill="1" applyBorder="1" applyAlignment="1">
      <alignment horizontal="center" vertical="center" wrapText="1"/>
    </xf>
    <xf numFmtId="0" fontId="59" fillId="26" borderId="6" xfId="0" applyFont="1" applyFill="1" applyBorder="1" applyAlignment="1">
      <alignment vertical="center"/>
    </xf>
    <xf numFmtId="0" fontId="59" fillId="26" borderId="3" xfId="0" applyFont="1" applyFill="1" applyBorder="1" applyAlignment="1">
      <alignment vertical="center"/>
    </xf>
    <xf numFmtId="0" fontId="59" fillId="26" borderId="12" xfId="0" applyFont="1" applyFill="1" applyBorder="1" applyAlignment="1">
      <alignment vertical="center"/>
    </xf>
    <xf numFmtId="0" fontId="61" fillId="35" borderId="4" xfId="0" applyFont="1" applyFill="1" applyBorder="1" applyAlignment="1">
      <alignment vertical="center" wrapText="1"/>
    </xf>
    <xf numFmtId="0" fontId="59" fillId="35" borderId="4" xfId="0" applyFont="1" applyFill="1" applyBorder="1" applyAlignment="1">
      <alignment vertical="center" wrapText="1"/>
    </xf>
    <xf numFmtId="0" fontId="13" fillId="4" borderId="4" xfId="0" applyFont="1" applyFill="1" applyBorder="1" applyAlignment="1">
      <alignment horizontal="center" vertical="center"/>
    </xf>
    <xf numFmtId="0" fontId="14" fillId="8" borderId="4" xfId="0" applyFont="1" applyFill="1" applyBorder="1" applyAlignment="1">
      <alignment horizontal="center" vertical="center"/>
    </xf>
    <xf numFmtId="0" fontId="14" fillId="0" borderId="0" xfId="0" applyFont="1" applyAlignment="1">
      <alignment horizontal="left" vertical="center"/>
    </xf>
    <xf numFmtId="164" fontId="14" fillId="5" borderId="15" xfId="73" applyFont="1" applyFill="1" applyBorder="1" applyAlignment="1">
      <alignment horizontal="center" vertical="center" wrapText="1"/>
    </xf>
    <xf numFmtId="164" fontId="14" fillId="5" borderId="9" xfId="73" applyFont="1" applyFill="1" applyBorder="1" applyAlignment="1">
      <alignment horizontal="center" vertical="center" wrapText="1"/>
    </xf>
    <xf numFmtId="164" fontId="14" fillId="5" borderId="7" xfId="73" applyFont="1" applyFill="1" applyBorder="1" applyAlignment="1">
      <alignment horizontal="center" vertical="center" wrapText="1"/>
    </xf>
    <xf numFmtId="0" fontId="14" fillId="0" borderId="4" xfId="0" applyFont="1" applyBorder="1" applyAlignment="1">
      <alignment horizontal="center" vertical="center" wrapText="1"/>
    </xf>
    <xf numFmtId="0" fontId="13" fillId="0" borderId="0" xfId="0" applyFont="1" applyAlignment="1">
      <alignment horizontal="left"/>
    </xf>
    <xf numFmtId="0" fontId="14" fillId="8" borderId="4" xfId="0" applyFont="1" applyFill="1" applyBorder="1" applyAlignment="1">
      <alignment horizontal="center" vertical="center" wrapText="1"/>
    </xf>
    <xf numFmtId="49" fontId="14" fillId="0" borderId="4" xfId="0" applyNumberFormat="1" applyFont="1" applyBorder="1" applyAlignment="1">
      <alignment horizontal="center" vertical="center" wrapText="1"/>
    </xf>
    <xf numFmtId="0" fontId="14" fillId="0" borderId="6" xfId="0" applyFont="1" applyBorder="1" applyAlignment="1">
      <alignment horizontal="left" vertical="center" wrapText="1"/>
    </xf>
    <xf numFmtId="0" fontId="14" fillId="0" borderId="12" xfId="0" applyFont="1" applyBorder="1" applyAlignment="1">
      <alignment horizontal="left" vertical="center" wrapText="1"/>
    </xf>
    <xf numFmtId="1" fontId="14" fillId="0" borderId="6" xfId="0" applyNumberFormat="1" applyFont="1" applyBorder="1" applyAlignment="1">
      <alignment horizontal="left"/>
    </xf>
    <xf numFmtId="1" fontId="14" fillId="0" borderId="12" xfId="0" applyNumberFormat="1" applyFont="1" applyBorder="1" applyAlignment="1">
      <alignment horizontal="left"/>
    </xf>
    <xf numFmtId="164" fontId="14" fillId="0" borderId="15" xfId="73" applyFont="1" applyFill="1" applyBorder="1" applyAlignment="1">
      <alignment horizontal="center" vertical="center" wrapText="1"/>
    </xf>
    <xf numFmtId="164" fontId="14" fillId="0" borderId="9" xfId="73" applyFont="1" applyFill="1" applyBorder="1" applyAlignment="1">
      <alignment horizontal="center" vertical="center" wrapText="1"/>
    </xf>
    <xf numFmtId="164" fontId="14" fillId="0" borderId="7" xfId="73" applyFont="1" applyFill="1" applyBorder="1" applyAlignment="1">
      <alignment horizontal="center" vertical="center" wrapText="1"/>
    </xf>
    <xf numFmtId="0" fontId="14" fillId="0" borderId="15" xfId="67" applyFont="1" applyBorder="1" applyAlignment="1">
      <alignment horizontal="center" vertical="top"/>
    </xf>
    <xf numFmtId="0" fontId="14" fillId="0" borderId="9" xfId="67" applyFont="1" applyBorder="1" applyAlignment="1">
      <alignment horizontal="center" vertical="top"/>
    </xf>
    <xf numFmtId="0" fontId="14" fillId="0" borderId="7" xfId="67" applyFont="1" applyBorder="1" applyAlignment="1">
      <alignment horizontal="center" vertical="top"/>
    </xf>
    <xf numFmtId="0" fontId="10" fillId="0" borderId="6" xfId="67" applyFont="1" applyBorder="1" applyAlignment="1">
      <alignment horizontal="left" vertical="center" wrapText="1"/>
    </xf>
    <xf numFmtId="0" fontId="10" fillId="0" borderId="12" xfId="67" applyFont="1" applyBorder="1" applyAlignment="1">
      <alignment horizontal="left" vertical="center" wrapText="1"/>
    </xf>
    <xf numFmtId="0" fontId="14" fillId="0" borderId="6" xfId="67" applyFont="1" applyBorder="1" applyAlignment="1">
      <alignment horizontal="left" vertical="center" wrapText="1"/>
    </xf>
    <xf numFmtId="0" fontId="14" fillId="0" borderId="12" xfId="67" applyFont="1" applyBorder="1" applyAlignment="1">
      <alignment horizontal="left" vertical="center" wrapText="1"/>
    </xf>
    <xf numFmtId="164" fontId="14" fillId="0" borderId="15" xfId="0" applyNumberFormat="1" applyFont="1" applyBorder="1" applyAlignment="1">
      <alignment horizontal="center" vertical="center" wrapText="1"/>
    </xf>
    <xf numFmtId="164" fontId="14" fillId="0" borderId="9" xfId="0" applyNumberFormat="1" applyFont="1" applyBorder="1" applyAlignment="1">
      <alignment horizontal="center" vertical="center" wrapText="1"/>
    </xf>
    <xf numFmtId="164" fontId="14" fillId="0" borderId="7" xfId="0" applyNumberFormat="1" applyFont="1" applyBorder="1" applyAlignment="1">
      <alignment horizontal="center" vertical="center" wrapText="1"/>
    </xf>
    <xf numFmtId="0" fontId="14" fillId="0" borderId="0" xfId="0" applyFont="1" applyAlignment="1">
      <alignment horizontal="left"/>
    </xf>
    <xf numFmtId="0" fontId="14" fillId="0" borderId="3" xfId="67" applyFont="1" applyBorder="1" applyAlignment="1">
      <alignment horizontal="left" vertical="center" wrapText="1"/>
    </xf>
    <xf numFmtId="0" fontId="10" fillId="0" borderId="15" xfId="67" applyFont="1" applyBorder="1" applyAlignment="1">
      <alignment horizontal="center" vertical="top" wrapText="1"/>
    </xf>
    <xf numFmtId="0" fontId="10" fillId="0" borderId="9" xfId="67" applyFont="1" applyBorder="1" applyAlignment="1">
      <alignment horizontal="center" vertical="top" wrapText="1"/>
    </xf>
    <xf numFmtId="0" fontId="10" fillId="0" borderId="7" xfId="67" applyFont="1" applyBorder="1" applyAlignment="1">
      <alignment horizontal="center" vertical="top" wrapText="1"/>
    </xf>
    <xf numFmtId="0" fontId="14" fillId="0" borderId="6" xfId="67" applyFont="1" applyBorder="1" applyAlignment="1">
      <alignment horizontal="left" vertical="center"/>
    </xf>
    <xf numFmtId="0" fontId="14" fillId="0" borderId="12" xfId="67" applyFont="1" applyBorder="1" applyAlignment="1">
      <alignment horizontal="left" vertical="center"/>
    </xf>
    <xf numFmtId="0" fontId="14" fillId="8" borderId="16" xfId="0" applyFont="1" applyFill="1" applyBorder="1" applyAlignment="1">
      <alignment horizontal="center" vertical="center"/>
    </xf>
    <xf numFmtId="0" fontId="14" fillId="8" borderId="13" xfId="0" applyFont="1" applyFill="1" applyBorder="1" applyAlignment="1">
      <alignment horizontal="center" vertical="center"/>
    </xf>
    <xf numFmtId="0" fontId="14" fillId="8" borderId="17" xfId="0" applyFont="1" applyFill="1" applyBorder="1" applyAlignment="1">
      <alignment horizontal="center" vertical="center"/>
    </xf>
    <xf numFmtId="0" fontId="14" fillId="8" borderId="18" xfId="0" applyFont="1" applyFill="1" applyBorder="1" applyAlignment="1">
      <alignment horizontal="center" vertical="center"/>
    </xf>
    <xf numFmtId="0" fontId="0" fillId="0" borderId="6" xfId="0" applyBorder="1" applyAlignment="1">
      <alignment horizontal="left" vertical="center"/>
    </xf>
    <xf numFmtId="0" fontId="12" fillId="0" borderId="3" xfId="0" applyFont="1" applyBorder="1" applyAlignment="1">
      <alignment horizontal="left" vertical="center"/>
    </xf>
    <xf numFmtId="0" fontId="12" fillId="0" borderId="12" xfId="0" applyFont="1" applyBorder="1"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center"/>
    </xf>
    <xf numFmtId="0" fontId="0" fillId="0" borderId="12" xfId="0" applyBorder="1" applyAlignment="1">
      <alignment horizontal="left" vertical="center"/>
    </xf>
    <xf numFmtId="0" fontId="11" fillId="8" borderId="4" xfId="0" applyFont="1" applyFill="1" applyBorder="1" applyAlignment="1">
      <alignment horizontal="center" vertical="center"/>
    </xf>
    <xf numFmtId="0" fontId="11" fillId="8" borderId="15" xfId="0" applyFont="1" applyFill="1" applyBorder="1" applyAlignment="1">
      <alignment horizontal="center" vertical="center"/>
    </xf>
    <xf numFmtId="0" fontId="11" fillId="8" borderId="7" xfId="0" applyFont="1" applyFill="1" applyBorder="1" applyAlignment="1">
      <alignment horizontal="center" vertical="center"/>
    </xf>
    <xf numFmtId="0" fontId="11" fillId="8" borderId="6" xfId="0" applyFont="1" applyFill="1" applyBorder="1" applyAlignment="1">
      <alignment horizontal="center" vertical="center"/>
    </xf>
    <xf numFmtId="0" fontId="11" fillId="8" borderId="3" xfId="0" applyFont="1" applyFill="1" applyBorder="1" applyAlignment="1">
      <alignment horizontal="center" vertical="center"/>
    </xf>
    <xf numFmtId="0" fontId="11" fillId="8" borderId="12" xfId="0" applyFont="1" applyFill="1" applyBorder="1" applyAlignment="1">
      <alignment horizontal="center" vertical="center"/>
    </xf>
    <xf numFmtId="0" fontId="46" fillId="14" borderId="4" xfId="0" applyFont="1" applyFill="1" applyBorder="1" applyAlignment="1">
      <alignment horizontal="center" vertical="center"/>
    </xf>
    <xf numFmtId="0" fontId="46" fillId="14" borderId="4" xfId="0" applyFont="1" applyFill="1" applyBorder="1" applyAlignment="1">
      <alignment horizontal="center" vertical="center" wrapText="1"/>
    </xf>
    <xf numFmtId="2" fontId="14" fillId="0" borderId="15" xfId="0" applyNumberFormat="1" applyFont="1" applyBorder="1" applyAlignment="1">
      <alignment horizontal="center" vertical="center" wrapText="1"/>
    </xf>
    <xf numFmtId="2" fontId="14" fillId="0" borderId="9" xfId="0" applyNumberFormat="1" applyFont="1" applyBorder="1" applyAlignment="1">
      <alignment horizontal="center" vertical="center" wrapText="1"/>
    </xf>
    <xf numFmtId="2" fontId="14" fillId="0" borderId="7" xfId="0" applyNumberFormat="1" applyFont="1" applyBorder="1" applyAlignment="1">
      <alignment horizontal="center" vertical="center" wrapText="1"/>
    </xf>
    <xf numFmtId="2" fontId="99" fillId="0" borderId="16" xfId="0" applyNumberFormat="1" applyFont="1" applyBorder="1" applyAlignment="1">
      <alignment horizontal="center" vertical="center" wrapText="1"/>
    </xf>
    <xf numFmtId="2" fontId="99" fillId="0" borderId="14" xfId="0" applyNumberFormat="1" applyFont="1" applyBorder="1" applyAlignment="1">
      <alignment horizontal="center" vertical="center" wrapText="1"/>
    </xf>
    <xf numFmtId="2" fontId="99" fillId="0" borderId="13" xfId="0" applyNumberFormat="1" applyFont="1" applyBorder="1" applyAlignment="1">
      <alignment horizontal="center" vertical="center" wrapText="1"/>
    </xf>
    <xf numFmtId="2" fontId="99" fillId="0" borderId="17" xfId="0" applyNumberFormat="1" applyFont="1" applyBorder="1" applyAlignment="1">
      <alignment horizontal="center" vertical="center" wrapText="1"/>
    </xf>
    <xf numFmtId="2" fontId="99" fillId="0" borderId="0" xfId="0" applyNumberFormat="1" applyFont="1" applyAlignment="1">
      <alignment horizontal="center" vertical="center" wrapText="1"/>
    </xf>
    <xf numFmtId="2" fontId="99" fillId="0" borderId="18" xfId="0" applyNumberFormat="1" applyFont="1" applyBorder="1" applyAlignment="1">
      <alignment horizontal="center" vertical="center" wrapText="1"/>
    </xf>
    <xf numFmtId="2" fontId="99" fillId="0" borderId="8" xfId="0" applyNumberFormat="1" applyFont="1" applyBorder="1" applyAlignment="1">
      <alignment horizontal="center" vertical="center" wrapText="1"/>
    </xf>
    <xf numFmtId="2" fontId="99" fillId="0" borderId="11" xfId="0" applyNumberFormat="1" applyFont="1" applyBorder="1" applyAlignment="1">
      <alignment horizontal="center" vertical="center" wrapText="1"/>
    </xf>
    <xf numFmtId="2" fontId="99" fillId="0" borderId="19" xfId="0" applyNumberFormat="1" applyFont="1" applyBorder="1" applyAlignment="1">
      <alignment horizontal="center" vertical="center" wrapText="1"/>
    </xf>
    <xf numFmtId="0" fontId="99" fillId="0" borderId="16" xfId="0" applyFont="1" applyBorder="1" applyAlignment="1">
      <alignment horizontal="center" vertical="center"/>
    </xf>
    <xf numFmtId="0" fontId="99" fillId="0" borderId="14" xfId="0" applyFont="1" applyBorder="1" applyAlignment="1">
      <alignment horizontal="center" vertical="center"/>
    </xf>
    <xf numFmtId="0" fontId="99" fillId="0" borderId="13" xfId="0" applyFont="1" applyBorder="1" applyAlignment="1">
      <alignment horizontal="center" vertical="center"/>
    </xf>
    <xf numFmtId="0" fontId="99" fillId="0" borderId="17" xfId="0" applyFont="1" applyBorder="1" applyAlignment="1">
      <alignment horizontal="center" vertical="center"/>
    </xf>
    <xf numFmtId="0" fontId="99" fillId="0" borderId="0" xfId="0" applyFont="1" applyAlignment="1">
      <alignment horizontal="center" vertical="center"/>
    </xf>
    <xf numFmtId="0" fontId="99" fillId="0" borderId="18" xfId="0" applyFont="1" applyBorder="1" applyAlignment="1">
      <alignment horizontal="center" vertical="center"/>
    </xf>
    <xf numFmtId="0" fontId="99" fillId="0" borderId="8" xfId="0" applyFont="1" applyBorder="1" applyAlignment="1">
      <alignment horizontal="center" vertical="center"/>
    </xf>
    <xf numFmtId="0" fontId="99" fillId="0" borderId="11" xfId="0" applyFont="1" applyBorder="1" applyAlignment="1">
      <alignment horizontal="center" vertical="center"/>
    </xf>
    <xf numFmtId="0" fontId="99" fillId="0" borderId="19" xfId="0" applyFont="1" applyBorder="1" applyAlignment="1">
      <alignment horizontal="center" vertical="center"/>
    </xf>
    <xf numFmtId="0" fontId="11" fillId="8" borderId="4" xfId="0" applyFont="1" applyFill="1" applyBorder="1" applyAlignment="1">
      <alignment horizontal="center" vertical="center" wrapText="1"/>
    </xf>
    <xf numFmtId="0" fontId="11" fillId="15" borderId="4" xfId="0" applyFont="1" applyFill="1" applyBorder="1" applyAlignment="1">
      <alignment horizontal="center" vertical="center"/>
    </xf>
    <xf numFmtId="0" fontId="12" fillId="5" borderId="6" xfId="0" applyFont="1" applyFill="1" applyBorder="1" applyAlignment="1">
      <alignment horizontal="left" vertical="center"/>
    </xf>
    <xf numFmtId="0" fontId="12" fillId="5" borderId="3" xfId="0" applyFont="1" applyFill="1" applyBorder="1" applyAlignment="1">
      <alignment horizontal="left" vertical="center"/>
    </xf>
    <xf numFmtId="0" fontId="12" fillId="5" borderId="12" xfId="0" applyFont="1" applyFill="1" applyBorder="1" applyAlignment="1">
      <alignment horizontal="left" vertical="center"/>
    </xf>
    <xf numFmtId="0" fontId="46" fillId="8" borderId="15" xfId="0" applyFont="1" applyFill="1" applyBorder="1" applyAlignment="1">
      <alignment horizontal="center" vertical="center" wrapText="1"/>
    </xf>
    <xf numFmtId="0" fontId="46" fillId="8" borderId="9" xfId="0" applyFont="1" applyFill="1" applyBorder="1" applyAlignment="1">
      <alignment horizontal="center" vertical="center" wrapText="1"/>
    </xf>
    <xf numFmtId="0" fontId="46" fillId="8" borderId="7" xfId="0" applyFont="1" applyFill="1" applyBorder="1" applyAlignment="1">
      <alignment horizontal="center" vertical="center" wrapText="1"/>
    </xf>
    <xf numFmtId="4" fontId="29" fillId="0" borderId="15" xfId="0" applyNumberFormat="1" applyFont="1" applyBorder="1" applyAlignment="1">
      <alignment horizontal="center" vertical="center" wrapText="1"/>
    </xf>
    <xf numFmtId="4" fontId="29" fillId="0" borderId="9" xfId="0" applyNumberFormat="1" applyFont="1" applyBorder="1" applyAlignment="1">
      <alignment horizontal="center" vertical="center" wrapText="1"/>
    </xf>
    <xf numFmtId="4" fontId="29" fillId="0" borderId="7" xfId="0" applyNumberFormat="1" applyFont="1" applyBorder="1" applyAlignment="1">
      <alignment horizontal="center" vertical="center" wrapText="1"/>
    </xf>
    <xf numFmtId="2" fontId="11" fillId="0" borderId="15" xfId="0" applyNumberFormat="1" applyFont="1" applyBorder="1" applyAlignment="1">
      <alignment horizontal="center" vertical="center" wrapText="1"/>
    </xf>
    <xf numFmtId="2" fontId="11" fillId="0" borderId="9" xfId="0" applyNumberFormat="1" applyFont="1" applyBorder="1" applyAlignment="1">
      <alignment horizontal="center" vertical="center" wrapText="1"/>
    </xf>
    <xf numFmtId="2" fontId="11" fillId="0" borderId="7" xfId="0" applyNumberFormat="1" applyFont="1" applyBorder="1" applyAlignment="1">
      <alignment horizontal="center" vertical="center" wrapText="1"/>
    </xf>
    <xf numFmtId="0" fontId="0" fillId="0" borderId="4" xfId="0" applyBorder="1" applyAlignment="1">
      <alignment horizontal="left" vertical="center" wrapText="1"/>
    </xf>
    <xf numFmtId="0" fontId="14" fillId="8" borderId="6" xfId="18" applyFont="1" applyFill="1" applyBorder="1" applyAlignment="1">
      <alignment horizontal="center"/>
    </xf>
    <xf numFmtId="0" fontId="14" fillId="8" borderId="12" xfId="18" applyFont="1" applyFill="1" applyBorder="1" applyAlignment="1">
      <alignment horizontal="center"/>
    </xf>
    <xf numFmtId="0" fontId="14" fillId="8" borderId="6"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1" fillId="0" borderId="4" xfId="0" applyFont="1" applyBorder="1" applyAlignment="1">
      <alignment horizontal="center"/>
    </xf>
    <xf numFmtId="0" fontId="14" fillId="8" borderId="4" xfId="18" applyFont="1" applyFill="1" applyBorder="1" applyAlignment="1">
      <alignment horizontal="center"/>
    </xf>
    <xf numFmtId="0" fontId="0" fillId="0" borderId="15" xfId="0" applyBorder="1" applyAlignment="1">
      <alignment horizontal="left" vertical="center" wrapText="1"/>
    </xf>
    <xf numFmtId="0" fontId="0" fillId="0" borderId="7" xfId="0" applyBorder="1" applyAlignment="1">
      <alignment horizontal="left" vertical="center" wrapText="1"/>
    </xf>
    <xf numFmtId="164" fontId="92" fillId="0" borderId="16" xfId="73" applyFont="1" applyFill="1" applyBorder="1" applyAlignment="1">
      <alignment horizontal="center" vertical="center"/>
    </xf>
    <xf numFmtId="164" fontId="92" fillId="0" borderId="13" xfId="73" applyFont="1" applyFill="1" applyBorder="1" applyAlignment="1">
      <alignment horizontal="center" vertical="center"/>
    </xf>
    <xf numFmtId="164" fontId="92" fillId="0" borderId="17" xfId="73" applyFont="1" applyFill="1" applyBorder="1" applyAlignment="1">
      <alignment horizontal="center" vertical="center"/>
    </xf>
    <xf numFmtId="164" fontId="92" fillId="0" borderId="18" xfId="73" applyFont="1" applyFill="1" applyBorder="1" applyAlignment="1">
      <alignment horizontal="center" vertical="center"/>
    </xf>
    <xf numFmtId="164" fontId="92" fillId="0" borderId="8" xfId="73" applyFont="1" applyFill="1" applyBorder="1" applyAlignment="1">
      <alignment horizontal="center" vertical="center"/>
    </xf>
    <xf numFmtId="164" fontId="92" fillId="0" borderId="19" xfId="73" applyFont="1" applyFill="1" applyBorder="1" applyAlignment="1">
      <alignment horizontal="center" vertical="center"/>
    </xf>
    <xf numFmtId="0" fontId="14" fillId="4" borderId="0" xfId="0" applyFont="1" applyFill="1" applyAlignment="1">
      <alignment horizontal="center"/>
    </xf>
    <xf numFmtId="0" fontId="14" fillId="8" borderId="15"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3" fillId="0" borderId="0" xfId="0" applyFont="1"/>
    <xf numFmtId="0" fontId="14" fillId="8" borderId="3" xfId="0" applyFont="1" applyFill="1" applyBorder="1" applyAlignment="1">
      <alignment horizontal="center" vertical="center" wrapText="1"/>
    </xf>
    <xf numFmtId="0" fontId="17" fillId="8" borderId="15" xfId="0" applyFont="1" applyFill="1" applyBorder="1" applyAlignment="1">
      <alignment horizontal="center" vertical="center"/>
    </xf>
    <xf numFmtId="0" fontId="17" fillId="8" borderId="9" xfId="0" applyFont="1" applyFill="1" applyBorder="1" applyAlignment="1">
      <alignment horizontal="center" vertical="center"/>
    </xf>
    <xf numFmtId="0" fontId="0" fillId="0" borderId="4" xfId="111" applyFont="1" applyBorder="1" applyAlignment="1">
      <alignment horizontal="left" vertical="center" wrapText="1"/>
    </xf>
    <xf numFmtId="0" fontId="12" fillId="0" borderId="4"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7" xfId="0" applyFont="1" applyBorder="1" applyAlignment="1">
      <alignment horizontal="center" vertical="center" wrapText="1"/>
    </xf>
    <xf numFmtId="0" fontId="11" fillId="13" borderId="4" xfId="0" applyFont="1" applyFill="1" applyBorder="1" applyAlignment="1">
      <alignment horizontal="center" vertical="center" wrapText="1"/>
    </xf>
    <xf numFmtId="0" fontId="11" fillId="15" borderId="18" xfId="0" applyFont="1" applyFill="1" applyBorder="1" applyAlignment="1">
      <alignment horizontal="center" vertical="center"/>
    </xf>
    <xf numFmtId="0" fontId="11" fillId="15" borderId="19" xfId="0" applyFont="1" applyFill="1" applyBorder="1" applyAlignment="1">
      <alignment horizontal="center" vertical="center"/>
    </xf>
    <xf numFmtId="0" fontId="14" fillId="0" borderId="0" xfId="18" applyFont="1" applyAlignment="1">
      <alignment horizontal="left"/>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46" fillId="14" borderId="6" xfId="0" applyFont="1" applyFill="1" applyBorder="1" applyAlignment="1">
      <alignment horizontal="center" vertical="center" wrapText="1"/>
    </xf>
    <xf numFmtId="0" fontId="46" fillId="14" borderId="12" xfId="0" applyFont="1" applyFill="1" applyBorder="1" applyAlignment="1">
      <alignment horizontal="center" vertical="center" wrapText="1"/>
    </xf>
    <xf numFmtId="0" fontId="12" fillId="0" borderId="4" xfId="0" applyFont="1" applyBorder="1" applyAlignment="1">
      <alignment horizontal="left" vertical="center"/>
    </xf>
    <xf numFmtId="2" fontId="11" fillId="0" borderId="16" xfId="0" applyNumberFormat="1" applyFont="1" applyBorder="1" applyAlignment="1">
      <alignment horizontal="center" vertical="center" wrapText="1"/>
    </xf>
    <xf numFmtId="2" fontId="11" fillId="0" borderId="13" xfId="0" applyNumberFormat="1" applyFont="1" applyBorder="1" applyAlignment="1">
      <alignment horizontal="center" vertical="center" wrapText="1"/>
    </xf>
    <xf numFmtId="2" fontId="11" fillId="0" borderId="17" xfId="0" applyNumberFormat="1" applyFont="1" applyBorder="1" applyAlignment="1">
      <alignment horizontal="center" vertical="center" wrapText="1"/>
    </xf>
    <xf numFmtId="2" fontId="11" fillId="0" borderId="18" xfId="0" applyNumberFormat="1" applyFont="1" applyBorder="1" applyAlignment="1">
      <alignment horizontal="center" vertical="center" wrapText="1"/>
    </xf>
    <xf numFmtId="2" fontId="11" fillId="0" borderId="8" xfId="0" applyNumberFormat="1" applyFont="1" applyBorder="1" applyAlignment="1">
      <alignment horizontal="center" vertical="center" wrapText="1"/>
    </xf>
    <xf numFmtId="2" fontId="11" fillId="0" borderId="19" xfId="0" applyNumberFormat="1" applyFont="1" applyBorder="1" applyAlignment="1">
      <alignment horizontal="center" vertical="center" wrapText="1"/>
    </xf>
    <xf numFmtId="0" fontId="100" fillId="5" borderId="16" xfId="18" applyFont="1" applyFill="1" applyBorder="1" applyAlignment="1">
      <alignment horizontal="center" vertical="center"/>
    </xf>
    <xf numFmtId="0" fontId="100" fillId="5" borderId="14" xfId="18" applyFont="1" applyFill="1" applyBorder="1" applyAlignment="1">
      <alignment horizontal="center" vertical="center"/>
    </xf>
    <xf numFmtId="0" fontId="100" fillId="5" borderId="13" xfId="18" applyFont="1" applyFill="1" applyBorder="1" applyAlignment="1">
      <alignment horizontal="center" vertical="center"/>
    </xf>
    <xf numFmtId="0" fontId="100" fillId="5" borderId="17" xfId="18" applyFont="1" applyFill="1" applyBorder="1" applyAlignment="1">
      <alignment horizontal="center" vertical="center"/>
    </xf>
    <xf numFmtId="0" fontId="100" fillId="5" borderId="0" xfId="18" applyFont="1" applyFill="1" applyAlignment="1">
      <alignment horizontal="center" vertical="center"/>
    </xf>
    <xf numFmtId="0" fontId="100" fillId="5" borderId="18" xfId="18" applyFont="1" applyFill="1" applyBorder="1" applyAlignment="1">
      <alignment horizontal="center" vertical="center"/>
    </xf>
    <xf numFmtId="0" fontId="100" fillId="5" borderId="8" xfId="18" applyFont="1" applyFill="1" applyBorder="1" applyAlignment="1">
      <alignment horizontal="center" vertical="center"/>
    </xf>
    <xf numFmtId="0" fontId="100" fillId="5" borderId="11" xfId="18" applyFont="1" applyFill="1" applyBorder="1" applyAlignment="1">
      <alignment horizontal="center" vertical="center"/>
    </xf>
    <xf numFmtId="0" fontId="100" fillId="5" borderId="19" xfId="18" applyFont="1" applyFill="1" applyBorder="1" applyAlignment="1">
      <alignment horizontal="center" vertical="center"/>
    </xf>
    <xf numFmtId="0" fontId="0" fillId="0" borderId="11" xfId="0" applyBorder="1" applyAlignment="1">
      <alignment horizontal="right"/>
    </xf>
    <xf numFmtId="0" fontId="0" fillId="0" borderId="11" xfId="0" applyBorder="1" applyAlignment="1">
      <alignment horizontal="center"/>
    </xf>
    <xf numFmtId="0" fontId="14" fillId="8" borderId="15" xfId="18" applyFont="1" applyFill="1" applyBorder="1" applyAlignment="1">
      <alignment horizontal="center" vertical="center"/>
    </xf>
    <xf numFmtId="0" fontId="14" fillId="8" borderId="9" xfId="18" applyFont="1" applyFill="1" applyBorder="1" applyAlignment="1">
      <alignment horizontal="center" vertical="center"/>
    </xf>
    <xf numFmtId="0" fontId="14" fillId="8" borderId="7" xfId="18" applyFont="1" applyFill="1" applyBorder="1" applyAlignment="1">
      <alignment horizontal="center" vertical="center"/>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wrapText="1"/>
    </xf>
    <xf numFmtId="0" fontId="12" fillId="0" borderId="4" xfId="111" applyFont="1" applyBorder="1" applyAlignment="1">
      <alignment horizontal="left" vertical="center" wrapText="1"/>
    </xf>
    <xf numFmtId="0" fontId="46" fillId="0" borderId="0" xfId="0" applyFont="1" applyAlignment="1">
      <alignment horizontal="center" vertical="center"/>
    </xf>
    <xf numFmtId="2" fontId="10" fillId="0" borderId="6" xfId="91" applyNumberFormat="1" applyFont="1" applyBorder="1" applyAlignment="1">
      <alignment horizontal="left" vertical="center"/>
    </xf>
    <xf numFmtId="2" fontId="10" fillId="0" borderId="3" xfId="91" applyNumberFormat="1" applyFont="1" applyBorder="1" applyAlignment="1">
      <alignment horizontal="left" vertical="center"/>
    </xf>
    <xf numFmtId="2" fontId="10" fillId="0" borderId="12" xfId="91" applyNumberFormat="1" applyFont="1" applyBorder="1" applyAlignment="1">
      <alignment horizontal="left" vertical="center"/>
    </xf>
    <xf numFmtId="0" fontId="14" fillId="0" borderId="0" xfId="18" applyFont="1" applyAlignment="1">
      <alignment horizontal="left" vertical="center"/>
    </xf>
    <xf numFmtId="0" fontId="11" fillId="13" borderId="4" xfId="0" applyFont="1" applyFill="1" applyBorder="1" applyAlignment="1">
      <alignment vertical="center" wrapText="1"/>
    </xf>
    <xf numFmtId="0" fontId="11" fillId="15" borderId="18" xfId="0" applyFont="1" applyFill="1" applyBorder="1" applyAlignment="1">
      <alignment horizontal="center" vertical="center" wrapText="1"/>
    </xf>
    <xf numFmtId="0" fontId="11" fillId="15" borderId="19" xfId="0" applyFont="1" applyFill="1" applyBorder="1" applyAlignment="1">
      <alignment horizontal="center" vertical="center" wrapText="1"/>
    </xf>
    <xf numFmtId="0" fontId="12" fillId="0" borderId="6" xfId="0" applyFont="1" applyBorder="1" applyAlignment="1">
      <alignment horizontal="left" vertical="center"/>
    </xf>
    <xf numFmtId="0" fontId="10" fillId="0" borderId="6" xfId="0" applyFont="1" applyBorder="1" applyAlignment="1">
      <alignment horizontal="left" vertical="center"/>
    </xf>
    <xf numFmtId="0" fontId="10" fillId="0" borderId="3" xfId="0" applyFont="1" applyBorder="1" applyAlignment="1">
      <alignment horizontal="left" vertical="center"/>
    </xf>
    <xf numFmtId="0" fontId="10" fillId="0" borderId="12" xfId="0" applyFont="1" applyBorder="1" applyAlignment="1">
      <alignment horizontal="left" vertical="center"/>
    </xf>
    <xf numFmtId="4" fontId="11" fillId="0" borderId="15" xfId="0" applyNumberFormat="1" applyFont="1" applyBorder="1" applyAlignment="1">
      <alignment horizontal="center" vertical="center" wrapText="1"/>
    </xf>
    <xf numFmtId="4" fontId="11" fillId="0" borderId="9" xfId="0" applyNumberFormat="1" applyFont="1" applyBorder="1" applyAlignment="1">
      <alignment horizontal="center" vertical="center" wrapText="1"/>
    </xf>
    <xf numFmtId="4" fontId="11" fillId="0" borderId="7" xfId="0" applyNumberFormat="1" applyFont="1" applyBorder="1" applyAlignment="1">
      <alignment horizontal="center" vertical="center" wrapText="1"/>
    </xf>
    <xf numFmtId="0" fontId="14" fillId="8" borderId="15" xfId="18" applyFont="1" applyFill="1" applyBorder="1" applyAlignment="1">
      <alignment horizontal="center" vertical="center" wrapText="1"/>
    </xf>
    <xf numFmtId="0" fontId="14" fillId="8" borderId="9" xfId="18" applyFont="1" applyFill="1" applyBorder="1" applyAlignment="1">
      <alignment horizontal="center" vertical="center" wrapText="1"/>
    </xf>
    <xf numFmtId="0" fontId="14" fillId="8" borderId="7" xfId="18" applyFont="1" applyFill="1" applyBorder="1" applyAlignment="1">
      <alignment horizontal="center" vertical="center" wrapText="1"/>
    </xf>
    <xf numFmtId="0" fontId="10" fillId="0" borderId="11" xfId="0" applyFont="1" applyBorder="1" applyAlignment="1">
      <alignment horizontal="center"/>
    </xf>
    <xf numFmtId="0" fontId="14" fillId="8" borderId="6" xfId="0" applyFont="1" applyFill="1" applyBorder="1" applyAlignment="1">
      <alignment horizontal="center" wrapText="1"/>
    </xf>
    <xf numFmtId="0" fontId="14" fillId="8" borderId="3" xfId="0" applyFont="1" applyFill="1" applyBorder="1" applyAlignment="1">
      <alignment horizontal="center" wrapText="1"/>
    </xf>
    <xf numFmtId="0" fontId="14" fillId="8" borderId="12" xfId="0" applyFont="1" applyFill="1" applyBorder="1" applyAlignment="1">
      <alignment horizontal="center" wrapText="1"/>
    </xf>
    <xf numFmtId="0" fontId="14" fillId="8" borderId="4" xfId="0" applyFont="1" applyFill="1" applyBorder="1" applyAlignment="1">
      <alignment horizontal="center" wrapText="1"/>
    </xf>
    <xf numFmtId="0" fontId="10" fillId="0" borderId="11" xfId="0" applyFont="1" applyBorder="1" applyAlignment="1">
      <alignment horizontal="right"/>
    </xf>
    <xf numFmtId="0" fontId="77" fillId="0" borderId="16" xfId="0" applyFont="1" applyBorder="1" applyAlignment="1">
      <alignment horizontal="center" vertical="center"/>
    </xf>
    <xf numFmtId="0" fontId="77" fillId="0" borderId="14" xfId="0" applyFont="1" applyBorder="1" applyAlignment="1">
      <alignment horizontal="center" vertical="center"/>
    </xf>
    <xf numFmtId="0" fontId="77" fillId="0" borderId="13" xfId="0" applyFont="1" applyBorder="1" applyAlignment="1">
      <alignment horizontal="center" vertical="center"/>
    </xf>
    <xf numFmtId="0" fontId="77" fillId="0" borderId="17" xfId="0" applyFont="1" applyBorder="1" applyAlignment="1">
      <alignment horizontal="center" vertical="center"/>
    </xf>
    <xf numFmtId="0" fontId="77" fillId="0" borderId="0" xfId="0" applyFont="1" applyAlignment="1">
      <alignment horizontal="center" vertical="center"/>
    </xf>
    <xf numFmtId="0" fontId="77" fillId="0" borderId="18" xfId="0" applyFont="1" applyBorder="1" applyAlignment="1">
      <alignment horizontal="center" vertical="center"/>
    </xf>
    <xf numFmtId="0" fontId="77" fillId="0" borderId="8" xfId="0" applyFont="1" applyBorder="1" applyAlignment="1">
      <alignment horizontal="center" vertical="center"/>
    </xf>
    <xf numFmtId="0" fontId="77" fillId="0" borderId="11" xfId="0" applyFont="1" applyBorder="1" applyAlignment="1">
      <alignment horizontal="center" vertical="center"/>
    </xf>
    <xf numFmtId="0" fontId="77" fillId="0" borderId="19" xfId="0" applyFont="1" applyBorder="1" applyAlignment="1">
      <alignment horizontal="center" vertical="center"/>
    </xf>
    <xf numFmtId="0" fontId="14" fillId="8" borderId="4" xfId="0" applyFont="1" applyFill="1" applyBorder="1" applyAlignment="1">
      <alignment horizontal="center"/>
    </xf>
    <xf numFmtId="0" fontId="48" fillId="0" borderId="16" xfId="0" applyFont="1" applyBorder="1" applyAlignment="1">
      <alignment horizontal="center" vertical="center"/>
    </xf>
    <xf numFmtId="0" fontId="48" fillId="0" borderId="14" xfId="0" applyFont="1" applyBorder="1" applyAlignment="1">
      <alignment horizontal="center" vertical="center"/>
    </xf>
    <xf numFmtId="0" fontId="48" fillId="0" borderId="13" xfId="0" applyFont="1" applyBorder="1" applyAlignment="1">
      <alignment horizontal="center" vertical="center"/>
    </xf>
    <xf numFmtId="0" fontId="48" fillId="0" borderId="17" xfId="0" applyFont="1" applyBorder="1" applyAlignment="1">
      <alignment horizontal="center" vertical="center"/>
    </xf>
    <xf numFmtId="0" fontId="48" fillId="0" borderId="0" xfId="0" applyFont="1" applyAlignment="1">
      <alignment horizontal="center" vertical="center"/>
    </xf>
    <xf numFmtId="0" fontId="48" fillId="0" borderId="18" xfId="0" applyFont="1" applyBorder="1" applyAlignment="1">
      <alignment horizontal="center" vertical="center"/>
    </xf>
    <xf numFmtId="0" fontId="48" fillId="0" borderId="8" xfId="0" applyFont="1" applyBorder="1" applyAlignment="1">
      <alignment horizontal="center" vertical="center"/>
    </xf>
    <xf numFmtId="0" fontId="48" fillId="0" borderId="11" xfId="0" applyFont="1" applyBorder="1" applyAlignment="1">
      <alignment horizontal="center" vertical="center"/>
    </xf>
    <xf numFmtId="0" fontId="48" fillId="0" borderId="19" xfId="0" applyFont="1" applyBorder="1" applyAlignment="1">
      <alignment horizontal="center" vertical="center"/>
    </xf>
    <xf numFmtId="0" fontId="11" fillId="0" borderId="0" xfId="0" applyFont="1" applyAlignment="1">
      <alignment horizontal="center"/>
    </xf>
    <xf numFmtId="0" fontId="14" fillId="0" borderId="0" xfId="0" applyFont="1" applyAlignment="1">
      <alignment horizontal="center"/>
    </xf>
    <xf numFmtId="0" fontId="14" fillId="8" borderId="14" xfId="0" applyFont="1" applyFill="1" applyBorder="1" applyAlignment="1">
      <alignment horizontal="center" vertical="center"/>
    </xf>
    <xf numFmtId="0" fontId="14" fillId="8" borderId="8" xfId="0" applyFont="1" applyFill="1" applyBorder="1" applyAlignment="1">
      <alignment horizontal="center" vertical="center"/>
    </xf>
    <xf numFmtId="0" fontId="14" fillId="8" borderId="11" xfId="0" applyFont="1" applyFill="1" applyBorder="1" applyAlignment="1">
      <alignment horizontal="center" vertical="center"/>
    </xf>
    <xf numFmtId="0" fontId="14" fillId="8" borderId="19" xfId="0" applyFont="1" applyFill="1" applyBorder="1" applyAlignment="1">
      <alignment horizontal="center" vertical="center"/>
    </xf>
    <xf numFmtId="0" fontId="13" fillId="0" borderId="0" xfId="18" applyFont="1"/>
    <xf numFmtId="0" fontId="14" fillId="8" borderId="15" xfId="0" applyFont="1" applyFill="1" applyBorder="1" applyAlignment="1">
      <alignment horizontal="center" vertical="center"/>
    </xf>
    <xf numFmtId="0" fontId="14" fillId="8" borderId="9" xfId="0" applyFont="1" applyFill="1" applyBorder="1" applyAlignment="1">
      <alignment horizontal="center" vertical="center"/>
    </xf>
    <xf numFmtId="0" fontId="14" fillId="8" borderId="7" xfId="0" applyFont="1" applyFill="1" applyBorder="1" applyAlignment="1">
      <alignment horizontal="center" vertical="center"/>
    </xf>
    <xf numFmtId="0" fontId="14" fillId="8" borderId="7" xfId="0" applyFont="1" applyFill="1" applyBorder="1" applyAlignment="1">
      <alignment horizontal="center" vertical="center" wrapText="1"/>
    </xf>
    <xf numFmtId="0" fontId="14" fillId="8" borderId="6" xfId="0" applyFont="1" applyFill="1" applyBorder="1" applyAlignment="1">
      <alignment horizontal="center"/>
    </xf>
    <xf numFmtId="0" fontId="14" fillId="8" borderId="3" xfId="0" applyFont="1" applyFill="1" applyBorder="1" applyAlignment="1">
      <alignment horizontal="center"/>
    </xf>
    <xf numFmtId="0" fontId="14" fillId="8" borderId="4" xfId="0" applyFont="1" applyFill="1" applyBorder="1" applyAlignment="1">
      <alignment horizontal="center" vertical="top" wrapText="1"/>
    </xf>
    <xf numFmtId="0" fontId="14" fillId="8" borderId="4" xfId="91" applyFont="1" applyFill="1" applyBorder="1" applyAlignment="1">
      <alignment horizontal="left" vertical="center" wrapText="1"/>
    </xf>
    <xf numFmtId="0" fontId="10" fillId="0" borderId="4" xfId="91" applyFont="1" applyBorder="1" applyAlignment="1">
      <alignment horizontal="left" vertical="center" wrapText="1"/>
    </xf>
    <xf numFmtId="0" fontId="10" fillId="0" borderId="14" xfId="91" applyFont="1" applyBorder="1" applyAlignment="1">
      <alignment horizontal="left" vertical="center" wrapText="1"/>
    </xf>
    <xf numFmtId="0" fontId="14" fillId="0" borderId="4" xfId="91" applyFont="1" applyBorder="1" applyAlignment="1">
      <alignment horizontal="left" vertical="center" wrapText="1"/>
    </xf>
    <xf numFmtId="0" fontId="10" fillId="0" borderId="6" xfId="91" applyFont="1" applyBorder="1" applyAlignment="1">
      <alignment horizontal="left" vertical="center" wrapText="1"/>
    </xf>
    <xf numFmtId="0" fontId="10" fillId="0" borderId="3" xfId="91" applyFont="1" applyBorder="1" applyAlignment="1">
      <alignment horizontal="left" vertical="center" wrapText="1"/>
    </xf>
    <xf numFmtId="0" fontId="10" fillId="0" borderId="12" xfId="91" applyFont="1" applyBorder="1" applyAlignment="1">
      <alignment horizontal="left" vertical="center" wrapText="1"/>
    </xf>
    <xf numFmtId="0" fontId="14" fillId="0" borderId="6" xfId="91" applyFont="1" applyBorder="1" applyAlignment="1">
      <alignment horizontal="left" vertical="center" wrapText="1"/>
    </xf>
    <xf numFmtId="0" fontId="14" fillId="0" borderId="3" xfId="91" applyFont="1" applyBorder="1" applyAlignment="1">
      <alignment horizontal="left" vertical="center" wrapText="1"/>
    </xf>
    <xf numFmtId="0" fontId="14" fillId="0" borderId="12" xfId="91" applyFont="1" applyBorder="1" applyAlignment="1">
      <alignment horizontal="left" vertical="center" wrapText="1"/>
    </xf>
    <xf numFmtId="43" fontId="10" fillId="0" borderId="15" xfId="91" applyNumberFormat="1" applyFont="1" applyBorder="1" applyAlignment="1">
      <alignment horizontal="center" vertical="center" wrapText="1"/>
    </xf>
    <xf numFmtId="0" fontId="10" fillId="0" borderId="7" xfId="91" applyFont="1" applyBorder="1" applyAlignment="1">
      <alignment horizontal="center" vertical="center" wrapText="1"/>
    </xf>
    <xf numFmtId="43" fontId="10" fillId="0" borderId="7" xfId="91" applyNumberFormat="1" applyFont="1" applyBorder="1" applyAlignment="1">
      <alignment horizontal="center" vertical="center" wrapText="1"/>
    </xf>
    <xf numFmtId="9" fontId="10" fillId="0" borderId="15" xfId="59" applyFont="1" applyBorder="1" applyAlignment="1">
      <alignment horizontal="center" vertical="center" wrapText="1"/>
    </xf>
    <xf numFmtId="9" fontId="10" fillId="0" borderId="7" xfId="59" applyFont="1" applyBorder="1" applyAlignment="1">
      <alignment horizontal="center" vertical="center" wrapText="1"/>
    </xf>
    <xf numFmtId="0" fontId="10" fillId="0" borderId="4" xfId="91" applyFont="1" applyBorder="1" applyAlignment="1">
      <alignment horizontal="center" vertical="center" wrapText="1"/>
    </xf>
    <xf numFmtId="0" fontId="14" fillId="8" borderId="6" xfId="91" applyFont="1" applyFill="1" applyBorder="1" applyAlignment="1">
      <alignment horizontal="left" vertical="center" wrapText="1"/>
    </xf>
    <xf numFmtId="0" fontId="14" fillId="8" borderId="3" xfId="91" applyFont="1" applyFill="1" applyBorder="1" applyAlignment="1">
      <alignment horizontal="left" vertical="center" wrapText="1"/>
    </xf>
    <xf numFmtId="0" fontId="14" fillId="8" borderId="12" xfId="91" applyFont="1" applyFill="1" applyBorder="1" applyAlignment="1">
      <alignment horizontal="left" vertical="center" wrapText="1"/>
    </xf>
    <xf numFmtId="0" fontId="14" fillId="8" borderId="6" xfId="91" applyFont="1" applyFill="1" applyBorder="1" applyAlignment="1">
      <alignment horizontal="left" vertical="center"/>
    </xf>
    <xf numFmtId="0" fontId="14" fillId="8" borderId="3" xfId="91" applyFont="1" applyFill="1" applyBorder="1" applyAlignment="1">
      <alignment horizontal="left" vertical="center"/>
    </xf>
    <xf numFmtId="0" fontId="14" fillId="8" borderId="12" xfId="91" applyFont="1" applyFill="1" applyBorder="1" applyAlignment="1">
      <alignment horizontal="left" vertical="center"/>
    </xf>
    <xf numFmtId="0" fontId="14" fillId="8" borderId="8" xfId="91" applyFont="1" applyFill="1" applyBorder="1" applyAlignment="1">
      <alignment horizontal="left" vertical="center"/>
    </xf>
    <xf numFmtId="0" fontId="14" fillId="8" borderId="11" xfId="91" applyFont="1" applyFill="1" applyBorder="1" applyAlignment="1">
      <alignment horizontal="left" vertical="center"/>
    </xf>
    <xf numFmtId="0" fontId="14" fillId="8" borderId="19" xfId="91" applyFont="1" applyFill="1" applyBorder="1" applyAlignment="1">
      <alignment horizontal="left" vertical="center"/>
    </xf>
    <xf numFmtId="0" fontId="11" fillId="5" borderId="4" xfId="0" applyFont="1" applyFill="1" applyBorder="1" applyAlignment="1">
      <alignment horizontal="center" vertical="center" wrapText="1"/>
    </xf>
    <xf numFmtId="0" fontId="11" fillId="8" borderId="15"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0" fillId="0" borderId="6" xfId="0" applyBorder="1" applyAlignment="1">
      <alignment horizontal="left"/>
    </xf>
    <xf numFmtId="0" fontId="0" fillId="0" borderId="3" xfId="0" applyBorder="1" applyAlignment="1">
      <alignment horizontal="left"/>
    </xf>
    <xf numFmtId="0" fontId="0" fillId="0" borderId="12" xfId="0" applyBorder="1" applyAlignment="1">
      <alignment horizontal="left"/>
    </xf>
    <xf numFmtId="0" fontId="11" fillId="8" borderId="3" xfId="0" applyFont="1" applyFill="1" applyBorder="1" applyAlignment="1">
      <alignment horizontal="center" vertical="center" wrapText="1"/>
    </xf>
    <xf numFmtId="185" fontId="78" fillId="20" borderId="16" xfId="73" applyNumberFormat="1" applyFont="1" applyFill="1" applyBorder="1" applyAlignment="1">
      <alignment horizontal="center" vertical="center" wrapText="1"/>
    </xf>
    <xf numFmtId="185" fontId="78" fillId="20" borderId="14" xfId="73" applyNumberFormat="1" applyFont="1" applyFill="1" applyBorder="1" applyAlignment="1">
      <alignment horizontal="center" vertical="center" wrapText="1"/>
    </xf>
    <xf numFmtId="185" fontId="78" fillId="20" borderId="13" xfId="73" applyNumberFormat="1" applyFont="1" applyFill="1" applyBorder="1" applyAlignment="1">
      <alignment horizontal="center" vertical="center" wrapText="1"/>
    </xf>
    <xf numFmtId="185" fontId="78" fillId="20" borderId="17" xfId="73" applyNumberFormat="1" applyFont="1" applyFill="1" applyBorder="1" applyAlignment="1">
      <alignment horizontal="center" vertical="center" wrapText="1"/>
    </xf>
    <xf numFmtId="185" fontId="78" fillId="20" borderId="0" xfId="73" applyNumberFormat="1" applyFont="1" applyFill="1" applyBorder="1" applyAlignment="1">
      <alignment horizontal="center" vertical="center" wrapText="1"/>
    </xf>
    <xf numFmtId="185" fontId="78" fillId="20" borderId="18" xfId="73" applyNumberFormat="1" applyFont="1" applyFill="1" applyBorder="1" applyAlignment="1">
      <alignment horizontal="center" vertical="center" wrapText="1"/>
    </xf>
    <xf numFmtId="185" fontId="78" fillId="20" borderId="8" xfId="73" applyNumberFormat="1" applyFont="1" applyFill="1" applyBorder="1" applyAlignment="1">
      <alignment horizontal="center" vertical="center" wrapText="1"/>
    </xf>
    <xf numFmtId="185" fontId="78" fillId="20" borderId="11" xfId="73" applyNumberFormat="1" applyFont="1" applyFill="1" applyBorder="1" applyAlignment="1">
      <alignment horizontal="center" vertical="center" wrapText="1"/>
    </xf>
    <xf numFmtId="185" fontId="78" fillId="20" borderId="19" xfId="73" applyNumberFormat="1" applyFont="1" applyFill="1" applyBorder="1" applyAlignment="1">
      <alignment horizontal="center" vertical="center" wrapText="1"/>
    </xf>
    <xf numFmtId="0" fontId="79" fillId="0" borderId="16" xfId="91" applyFont="1" applyBorder="1" applyAlignment="1">
      <alignment horizontal="center" vertical="center" textRotation="90" wrapText="1"/>
    </xf>
    <xf numFmtId="0" fontId="79" fillId="0" borderId="14" xfId="91" applyFont="1" applyBorder="1" applyAlignment="1">
      <alignment horizontal="center" vertical="center" textRotation="90" wrapText="1"/>
    </xf>
    <xf numFmtId="0" fontId="79" fillId="0" borderId="13" xfId="91" applyFont="1" applyBorder="1" applyAlignment="1">
      <alignment horizontal="center" vertical="center" textRotation="90" wrapText="1"/>
    </xf>
    <xf numFmtId="0" fontId="79" fillId="0" borderId="17" xfId="91" applyFont="1" applyBorder="1" applyAlignment="1">
      <alignment horizontal="center" vertical="center" textRotation="90" wrapText="1"/>
    </xf>
    <xf numFmtId="0" fontId="79" fillId="0" borderId="0" xfId="91" applyFont="1" applyAlignment="1">
      <alignment horizontal="center" vertical="center" textRotation="90" wrapText="1"/>
    </xf>
    <xf numFmtId="0" fontId="79" fillId="0" borderId="18" xfId="91" applyFont="1" applyBorder="1" applyAlignment="1">
      <alignment horizontal="center" vertical="center" textRotation="90" wrapText="1"/>
    </xf>
    <xf numFmtId="0" fontId="79" fillId="0" borderId="8" xfId="91" applyFont="1" applyBorder="1" applyAlignment="1">
      <alignment horizontal="center" vertical="center" textRotation="90" wrapText="1"/>
    </xf>
    <xf numFmtId="0" fontId="79" fillId="0" borderId="11" xfId="91" applyFont="1" applyBorder="1" applyAlignment="1">
      <alignment horizontal="center" vertical="center" textRotation="90" wrapText="1"/>
    </xf>
    <xf numFmtId="0" fontId="79" fillId="0" borderId="19" xfId="91" applyFont="1" applyBorder="1" applyAlignment="1">
      <alignment horizontal="center" vertical="center" textRotation="90" wrapText="1"/>
    </xf>
    <xf numFmtId="0" fontId="102" fillId="14" borderId="6" xfId="0" applyFont="1" applyFill="1" applyBorder="1" applyAlignment="1">
      <alignment horizontal="center" vertical="center" wrapText="1"/>
    </xf>
    <xf numFmtId="0" fontId="102" fillId="14" borderId="3" xfId="0" applyFont="1" applyFill="1" applyBorder="1" applyAlignment="1">
      <alignment horizontal="center" vertical="center" wrapText="1"/>
    </xf>
    <xf numFmtId="0" fontId="102" fillId="14" borderId="12" xfId="0" applyFont="1" applyFill="1" applyBorder="1" applyAlignment="1">
      <alignment horizontal="center" vertical="center" wrapText="1"/>
    </xf>
    <xf numFmtId="0" fontId="105" fillId="20" borderId="16" xfId="0" applyFont="1" applyFill="1" applyBorder="1" applyAlignment="1">
      <alignment horizontal="center" vertical="center"/>
    </xf>
    <xf numFmtId="0" fontId="105" fillId="20" borderId="14" xfId="0" applyFont="1" applyFill="1" applyBorder="1" applyAlignment="1">
      <alignment horizontal="center" vertical="center"/>
    </xf>
    <xf numFmtId="0" fontId="105" fillId="20" borderId="13" xfId="0" applyFont="1" applyFill="1" applyBorder="1" applyAlignment="1">
      <alignment horizontal="center" vertical="center"/>
    </xf>
    <xf numFmtId="0" fontId="105" fillId="20" borderId="17" xfId="0" applyFont="1" applyFill="1" applyBorder="1" applyAlignment="1">
      <alignment horizontal="center" vertical="center"/>
    </xf>
    <xf numFmtId="0" fontId="105" fillId="20" borderId="0" xfId="0" applyFont="1" applyFill="1" applyAlignment="1">
      <alignment horizontal="center" vertical="center"/>
    </xf>
    <xf numFmtId="0" fontId="105" fillId="20" borderId="18" xfId="0" applyFont="1" applyFill="1" applyBorder="1" applyAlignment="1">
      <alignment horizontal="center" vertical="center"/>
    </xf>
    <xf numFmtId="0" fontId="105" fillId="20" borderId="8" xfId="0" applyFont="1" applyFill="1" applyBorder="1" applyAlignment="1">
      <alignment horizontal="center" vertical="center"/>
    </xf>
    <xf numFmtId="0" fontId="105" fillId="20" borderId="11" xfId="0" applyFont="1" applyFill="1" applyBorder="1" applyAlignment="1">
      <alignment horizontal="center" vertical="center"/>
    </xf>
    <xf numFmtId="0" fontId="105" fillId="20" borderId="19" xfId="0" applyFont="1" applyFill="1" applyBorder="1" applyAlignment="1">
      <alignment horizontal="center" vertical="center"/>
    </xf>
    <xf numFmtId="0" fontId="102" fillId="14" borderId="15" xfId="0" applyFont="1" applyFill="1" applyBorder="1" applyAlignment="1">
      <alignment horizontal="center" vertical="center" wrapText="1"/>
    </xf>
    <xf numFmtId="0" fontId="102" fillId="14" borderId="7" xfId="0" applyFont="1" applyFill="1" applyBorder="1" applyAlignment="1">
      <alignment horizontal="center" vertical="center" wrapText="1"/>
    </xf>
    <xf numFmtId="0" fontId="102" fillId="14" borderId="4" xfId="0" applyFont="1" applyFill="1" applyBorder="1" applyAlignment="1">
      <alignment horizontal="center" vertical="center" wrapText="1"/>
    </xf>
    <xf numFmtId="0" fontId="112" fillId="0" borderId="6" xfId="0" applyFont="1" applyBorder="1" applyAlignment="1">
      <alignment horizontal="left"/>
    </xf>
    <xf numFmtId="0" fontId="112" fillId="0" borderId="3" xfId="0" applyFont="1" applyBorder="1" applyAlignment="1">
      <alignment horizontal="left"/>
    </xf>
    <xf numFmtId="0" fontId="28" fillId="0" borderId="6" xfId="0" applyFont="1" applyBorder="1" applyAlignment="1">
      <alignment horizontal="left"/>
    </xf>
    <xf numFmtId="0" fontId="28" fillId="0" borderId="3" xfId="0" applyFont="1" applyBorder="1" applyAlignment="1">
      <alignment horizontal="left"/>
    </xf>
    <xf numFmtId="0" fontId="73" fillId="0" borderId="0" xfId="0" applyFont="1" applyAlignment="1">
      <alignment horizontal="left"/>
    </xf>
    <xf numFmtId="0" fontId="106" fillId="8" borderId="4" xfId="0" applyFont="1" applyFill="1" applyBorder="1" applyAlignment="1">
      <alignment horizontal="center" vertical="center" wrapText="1"/>
    </xf>
    <xf numFmtId="0" fontId="106" fillId="8" borderId="16" xfId="0" applyFont="1" applyFill="1" applyBorder="1" applyAlignment="1">
      <alignment horizontal="center" vertical="center" wrapText="1"/>
    </xf>
    <xf numFmtId="0" fontId="106" fillId="8" borderId="14" xfId="0" applyFont="1" applyFill="1" applyBorder="1" applyAlignment="1">
      <alignment horizontal="center" vertical="center" wrapText="1"/>
    </xf>
    <xf numFmtId="0" fontId="106" fillId="8" borderId="17" xfId="0" applyFont="1" applyFill="1" applyBorder="1" applyAlignment="1">
      <alignment horizontal="center" vertical="center" wrapText="1"/>
    </xf>
    <xf numFmtId="0" fontId="106" fillId="8" borderId="0" xfId="0" applyFont="1" applyFill="1" applyAlignment="1">
      <alignment horizontal="center" vertical="center" wrapText="1"/>
    </xf>
    <xf numFmtId="0" fontId="106" fillId="8" borderId="8" xfId="0" applyFont="1" applyFill="1" applyBorder="1" applyAlignment="1">
      <alignment horizontal="center" vertical="center" wrapText="1"/>
    </xf>
    <xf numFmtId="0" fontId="106" fillId="8" borderId="11" xfId="0" applyFont="1" applyFill="1" applyBorder="1" applyAlignment="1">
      <alignment horizontal="center" vertical="center" wrapText="1"/>
    </xf>
    <xf numFmtId="0" fontId="13" fillId="8" borderId="4" xfId="0" applyFont="1" applyFill="1" applyBorder="1" applyAlignment="1">
      <alignment horizontal="left" vertical="center"/>
    </xf>
    <xf numFmtId="0" fontId="42" fillId="0" borderId="4" xfId="0" applyFont="1" applyBorder="1" applyAlignment="1">
      <alignment horizontal="left" wrapText="1"/>
    </xf>
    <xf numFmtId="0" fontId="13" fillId="0" borderId="4" xfId="0" applyFont="1" applyBorder="1" applyAlignment="1">
      <alignment horizontal="center" vertical="center"/>
    </xf>
    <xf numFmtId="0" fontId="42" fillId="0" borderId="3" xfId="0" applyFont="1" applyBorder="1" applyAlignment="1">
      <alignment horizontal="center"/>
    </xf>
    <xf numFmtId="0" fontId="42" fillId="0" borderId="12" xfId="0" applyFont="1" applyBorder="1" applyAlignment="1">
      <alignment horizontal="center"/>
    </xf>
    <xf numFmtId="0" fontId="14" fillId="15" borderId="15" xfId="0" applyFont="1" applyFill="1" applyBorder="1" applyAlignment="1">
      <alignment horizontal="center" vertical="center" wrapText="1"/>
    </xf>
    <xf numFmtId="0" fontId="14" fillId="15" borderId="9" xfId="0" applyFont="1" applyFill="1" applyBorder="1" applyAlignment="1">
      <alignment horizontal="center" vertical="center" wrapText="1"/>
    </xf>
    <xf numFmtId="0" fontId="14" fillId="15" borderId="7" xfId="0" applyFont="1" applyFill="1" applyBorder="1" applyAlignment="1">
      <alignment horizontal="center" vertical="center" wrapText="1"/>
    </xf>
    <xf numFmtId="0" fontId="40" fillId="15" borderId="15" xfId="0" applyFont="1" applyFill="1" applyBorder="1" applyAlignment="1">
      <alignment horizontal="center" vertical="center" wrapText="1"/>
    </xf>
    <xf numFmtId="0" fontId="40" fillId="15" borderId="9" xfId="0" applyFont="1" applyFill="1" applyBorder="1" applyAlignment="1">
      <alignment horizontal="center" vertical="center" wrapText="1"/>
    </xf>
    <xf numFmtId="0" fontId="40" fillId="15" borderId="7" xfId="0" applyFont="1" applyFill="1" applyBorder="1" applyAlignment="1">
      <alignment horizontal="center" vertical="center" wrapText="1"/>
    </xf>
    <xf numFmtId="17" fontId="40" fillId="15" borderId="4" xfId="90" applyNumberFormat="1" applyFont="1" applyFill="1" applyBorder="1" applyAlignment="1">
      <alignment horizontal="center" vertical="center" wrapText="1"/>
    </xf>
    <xf numFmtId="0" fontId="42" fillId="0" borderId="4" xfId="0" applyFont="1" applyBorder="1" applyAlignment="1">
      <alignment horizontal="left" vertical="top" wrapText="1"/>
    </xf>
    <xf numFmtId="0" fontId="41" fillId="8" borderId="6" xfId="0" applyFont="1" applyFill="1" applyBorder="1" applyAlignment="1">
      <alignment horizontal="center" vertical="center" wrapText="1"/>
    </xf>
    <xf numFmtId="0" fontId="41" fillId="8" borderId="3" xfId="0" applyFont="1" applyFill="1" applyBorder="1" applyAlignment="1">
      <alignment horizontal="center" vertical="center" wrapText="1"/>
    </xf>
    <xf numFmtId="0" fontId="41" fillId="8" borderId="12" xfId="0" applyFont="1" applyFill="1" applyBorder="1" applyAlignment="1">
      <alignment horizontal="center" vertical="center" wrapText="1"/>
    </xf>
    <xf numFmtId="17" fontId="40" fillId="15" borderId="4" xfId="0" applyNumberFormat="1" applyFont="1" applyFill="1" applyBorder="1" applyAlignment="1">
      <alignment horizontal="center"/>
    </xf>
    <xf numFmtId="0" fontId="40" fillId="15" borderId="4" xfId="0" applyFont="1" applyFill="1" applyBorder="1" applyAlignment="1">
      <alignment horizontal="center"/>
    </xf>
    <xf numFmtId="0" fontId="40" fillId="15" borderId="4" xfId="90" applyFont="1" applyFill="1" applyBorder="1" applyAlignment="1">
      <alignment horizontal="center" vertical="center" wrapText="1"/>
    </xf>
    <xf numFmtId="0" fontId="40" fillId="15" borderId="15" xfId="90" applyFont="1" applyFill="1" applyBorder="1" applyAlignment="1">
      <alignment horizontal="center" vertical="center" wrapText="1"/>
    </xf>
    <xf numFmtId="0" fontId="40" fillId="15" borderId="7" xfId="90" applyFont="1" applyFill="1" applyBorder="1" applyAlignment="1">
      <alignment horizontal="center" vertical="center" wrapText="1"/>
    </xf>
    <xf numFmtId="0" fontId="40" fillId="15" borderId="6" xfId="90" applyFont="1" applyFill="1" applyBorder="1" applyAlignment="1">
      <alignment horizontal="center" vertical="center" wrapText="1"/>
    </xf>
    <xf numFmtId="0" fontId="40" fillId="15" borderId="12" xfId="90" applyFont="1" applyFill="1" applyBorder="1" applyAlignment="1">
      <alignment horizontal="center" vertical="center" wrapText="1"/>
    </xf>
    <xf numFmtId="0" fontId="54" fillId="5" borderId="0" xfId="0" applyFont="1" applyFill="1" applyAlignment="1">
      <alignment horizontal="left"/>
    </xf>
    <xf numFmtId="0" fontId="53" fillId="5" borderId="0" xfId="0" applyFont="1" applyFill="1" applyAlignment="1">
      <alignment horizontal="center"/>
    </xf>
    <xf numFmtId="0" fontId="53" fillId="15" borderId="15" xfId="0" applyFont="1" applyFill="1" applyBorder="1" applyAlignment="1">
      <alignment horizontal="center" vertical="center" wrapText="1"/>
    </xf>
    <xf numFmtId="0" fontId="53" fillId="15" borderId="9" xfId="0" applyFont="1" applyFill="1" applyBorder="1" applyAlignment="1">
      <alignment horizontal="center" vertical="center" wrapText="1"/>
    </xf>
    <xf numFmtId="0" fontId="53" fillId="15" borderId="7" xfId="0" applyFont="1" applyFill="1" applyBorder="1" applyAlignment="1">
      <alignment horizontal="center" vertical="center" wrapText="1"/>
    </xf>
    <xf numFmtId="0" fontId="40" fillId="15" borderId="16" xfId="90" applyFont="1" applyFill="1" applyBorder="1" applyAlignment="1">
      <alignment horizontal="center" vertical="center" wrapText="1"/>
    </xf>
    <xf numFmtId="0" fontId="40" fillId="15" borderId="13" xfId="90" applyFont="1" applyFill="1" applyBorder="1" applyAlignment="1">
      <alignment horizontal="center" vertical="center" wrapText="1"/>
    </xf>
    <xf numFmtId="0" fontId="56" fillId="5" borderId="0" xfId="0" applyFont="1" applyFill="1" applyAlignment="1">
      <alignment horizontal="center" vertical="center" wrapText="1"/>
    </xf>
    <xf numFmtId="0" fontId="56" fillId="5" borderId="0" xfId="0" applyFont="1" applyFill="1" applyAlignment="1">
      <alignment horizontal="center" vertical="center"/>
    </xf>
    <xf numFmtId="0" fontId="40" fillId="15" borderId="8" xfId="90" applyFont="1" applyFill="1" applyBorder="1" applyAlignment="1">
      <alignment horizontal="center" vertical="center" wrapText="1"/>
    </xf>
    <xf numFmtId="0" fontId="40" fillId="15" borderId="19" xfId="90" applyFont="1" applyFill="1" applyBorder="1" applyAlignment="1">
      <alignment horizontal="center" vertical="center" wrapText="1"/>
    </xf>
    <xf numFmtId="0" fontId="10" fillId="0" borderId="6" xfId="0" applyFont="1" applyBorder="1" applyAlignment="1">
      <alignment horizontal="left"/>
    </xf>
    <xf numFmtId="0" fontId="10" fillId="0" borderId="3" xfId="0" applyFont="1" applyBorder="1" applyAlignment="1">
      <alignment horizontal="left"/>
    </xf>
    <xf numFmtId="0" fontId="10" fillId="0" borderId="12" xfId="0" applyFont="1" applyBorder="1" applyAlignment="1">
      <alignment horizontal="left"/>
    </xf>
    <xf numFmtId="0" fontId="79" fillId="0" borderId="16" xfId="91" applyFont="1" applyBorder="1" applyAlignment="1">
      <alignment horizontal="center" vertical="center"/>
    </xf>
    <xf numFmtId="0" fontId="79" fillId="0" borderId="14" xfId="91" applyFont="1" applyBorder="1" applyAlignment="1">
      <alignment horizontal="center" vertical="center"/>
    </xf>
    <xf numFmtId="0" fontId="79" fillId="0" borderId="13" xfId="91" applyFont="1" applyBorder="1" applyAlignment="1">
      <alignment horizontal="center" vertical="center"/>
    </xf>
    <xf numFmtId="0" fontId="79" fillId="0" borderId="17" xfId="91" applyFont="1" applyBorder="1" applyAlignment="1">
      <alignment horizontal="center" vertical="center"/>
    </xf>
    <xf numFmtId="0" fontId="79" fillId="0" borderId="0" xfId="91" applyFont="1" applyAlignment="1">
      <alignment horizontal="center" vertical="center"/>
    </xf>
    <xf numFmtId="0" fontId="79" fillId="0" borderId="18" xfId="91" applyFont="1" applyBorder="1" applyAlignment="1">
      <alignment horizontal="center" vertical="center"/>
    </xf>
    <xf numFmtId="0" fontId="79" fillId="0" borderId="8" xfId="91" applyFont="1" applyBorder="1" applyAlignment="1">
      <alignment horizontal="center" vertical="center"/>
    </xf>
    <xf numFmtId="0" fontId="79" fillId="0" borderId="11" xfId="91" applyFont="1" applyBorder="1" applyAlignment="1">
      <alignment horizontal="center" vertical="center"/>
    </xf>
    <xf numFmtId="0" fontId="79" fillId="0" borderId="19" xfId="91" applyFont="1" applyBorder="1" applyAlignment="1">
      <alignment horizontal="center" vertical="center"/>
    </xf>
    <xf numFmtId="0" fontId="11" fillId="0" borderId="0" xfId="0" applyFont="1" applyAlignment="1">
      <alignment horizontal="left"/>
    </xf>
    <xf numFmtId="0" fontId="11" fillId="6" borderId="6" xfId="0" applyFont="1" applyFill="1" applyBorder="1" applyAlignment="1">
      <alignment horizontal="center" vertical="center"/>
    </xf>
    <xf numFmtId="0" fontId="11" fillId="6" borderId="3" xfId="0" applyFont="1" applyFill="1" applyBorder="1" applyAlignment="1">
      <alignment horizontal="center" vertical="center"/>
    </xf>
    <xf numFmtId="0" fontId="11" fillId="6" borderId="12" xfId="0" applyFont="1" applyFill="1" applyBorder="1" applyAlignment="1">
      <alignment horizontal="center" vertical="center"/>
    </xf>
    <xf numFmtId="0" fontId="11" fillId="0" borderId="6" xfId="0" applyFont="1" applyBorder="1" applyAlignment="1">
      <alignment horizontal="center" vertical="center"/>
    </xf>
    <xf numFmtId="0" fontId="11" fillId="0" borderId="3" xfId="0" applyFont="1" applyBorder="1" applyAlignment="1">
      <alignment horizontal="center" vertical="center"/>
    </xf>
    <xf numFmtId="0" fontId="11" fillId="0" borderId="12" xfId="0" applyFont="1" applyBorder="1" applyAlignment="1">
      <alignment horizontal="center" vertical="center"/>
    </xf>
    <xf numFmtId="0" fontId="114" fillId="21" borderId="6" xfId="0" applyFont="1" applyFill="1" applyBorder="1" applyAlignment="1">
      <alignment horizontal="center" vertical="center"/>
    </xf>
    <xf numFmtId="0" fontId="114" fillId="21" borderId="3" xfId="0" applyFont="1" applyFill="1" applyBorder="1" applyAlignment="1">
      <alignment horizontal="center" vertical="center"/>
    </xf>
    <xf numFmtId="0" fontId="114" fillId="21" borderId="12" xfId="0" applyFont="1" applyFill="1" applyBorder="1" applyAlignment="1">
      <alignment horizontal="center" vertical="center"/>
    </xf>
    <xf numFmtId="0" fontId="114" fillId="0" borderId="4" xfId="0" applyFont="1" applyBorder="1" applyAlignment="1">
      <alignment horizontal="center" vertical="center" wrapText="1"/>
    </xf>
    <xf numFmtId="0" fontId="114" fillId="0" borderId="15" xfId="0" applyFont="1" applyBorder="1" applyAlignment="1">
      <alignment horizontal="center" vertical="center"/>
    </xf>
    <xf numFmtId="0" fontId="114" fillId="0" borderId="7" xfId="0" applyFont="1" applyBorder="1" applyAlignment="1">
      <alignment horizontal="center" vertical="center"/>
    </xf>
    <xf numFmtId="0" fontId="29" fillId="0" borderId="0" xfId="0" applyFont="1" applyAlignment="1">
      <alignment horizontal="left"/>
    </xf>
    <xf numFmtId="0" fontId="114" fillId="0" borderId="4" xfId="0" applyFont="1" applyBorder="1" applyAlignment="1">
      <alignment horizontal="center" vertical="center"/>
    </xf>
    <xf numFmtId="0" fontId="114" fillId="0" borderId="6" xfId="0" applyFont="1" applyBorder="1" applyAlignment="1">
      <alignment horizontal="center" vertical="center"/>
    </xf>
    <xf numFmtId="0" fontId="114" fillId="0" borderId="3" xfId="0" applyFont="1" applyBorder="1" applyAlignment="1">
      <alignment horizontal="center" vertical="center"/>
    </xf>
    <xf numFmtId="0" fontId="114" fillId="0" borderId="12" xfId="0" applyFont="1" applyBorder="1" applyAlignment="1">
      <alignment horizontal="center" vertical="center"/>
    </xf>
    <xf numFmtId="0" fontId="114" fillId="0" borderId="6" xfId="0" applyFont="1" applyBorder="1" applyAlignment="1">
      <alignment horizontal="center" vertical="center" wrapText="1"/>
    </xf>
    <xf numFmtId="0" fontId="114" fillId="0" borderId="3" xfId="0" applyFont="1" applyBorder="1" applyAlignment="1">
      <alignment horizontal="center" vertical="center" wrapText="1"/>
    </xf>
    <xf numFmtId="0" fontId="114" fillId="0" borderId="12" xfId="0" applyFont="1" applyBorder="1" applyAlignment="1">
      <alignment horizontal="center" vertical="center" wrapText="1"/>
    </xf>
    <xf numFmtId="0" fontId="72" fillId="0" borderId="14" xfId="0" applyFont="1" applyBorder="1" applyAlignment="1">
      <alignment horizontal="center" vertical="center"/>
    </xf>
    <xf numFmtId="0" fontId="23" fillId="0" borderId="0" xfId="0" applyFont="1" applyAlignment="1">
      <alignment horizontal="left"/>
    </xf>
    <xf numFmtId="0" fontId="95" fillId="0" borderId="16" xfId="0" quotePrefix="1" applyFont="1" applyBorder="1" applyAlignment="1">
      <alignment horizontal="center" vertical="center"/>
    </xf>
    <xf numFmtId="0" fontId="95" fillId="0" borderId="14" xfId="0" quotePrefix="1" applyFont="1" applyBorder="1" applyAlignment="1">
      <alignment horizontal="center" vertical="center"/>
    </xf>
    <xf numFmtId="0" fontId="95" fillId="0" borderId="13" xfId="0" quotePrefix="1" applyFont="1" applyBorder="1" applyAlignment="1">
      <alignment horizontal="center" vertical="center"/>
    </xf>
    <xf numFmtId="0" fontId="95" fillId="0" borderId="17" xfId="0" quotePrefix="1" applyFont="1" applyBorder="1" applyAlignment="1">
      <alignment horizontal="center" vertical="center"/>
    </xf>
    <xf numFmtId="0" fontId="95" fillId="0" borderId="0" xfId="0" quotePrefix="1" applyFont="1" applyAlignment="1">
      <alignment horizontal="center" vertical="center"/>
    </xf>
    <xf numFmtId="0" fontId="95" fillId="0" borderId="18" xfId="0" quotePrefix="1" applyFont="1" applyBorder="1" applyAlignment="1">
      <alignment horizontal="center" vertical="center"/>
    </xf>
    <xf numFmtId="0" fontId="95" fillId="0" borderId="8" xfId="0" quotePrefix="1" applyFont="1" applyBorder="1" applyAlignment="1">
      <alignment horizontal="center" vertical="center"/>
    </xf>
    <xf numFmtId="0" fontId="95" fillId="0" borderId="11" xfId="0" quotePrefix="1" applyFont="1" applyBorder="1" applyAlignment="1">
      <alignment horizontal="center" vertical="center"/>
    </xf>
    <xf numFmtId="0" fontId="95" fillId="0" borderId="19" xfId="0" quotePrefix="1" applyFont="1" applyBorder="1" applyAlignment="1">
      <alignment horizontal="center" vertical="center"/>
    </xf>
    <xf numFmtId="0" fontId="115" fillId="0" borderId="0" xfId="0" applyFont="1" applyAlignment="1">
      <alignment horizontal="left"/>
    </xf>
    <xf numFmtId="0" fontId="115" fillId="36" borderId="6" xfId="0" applyFont="1" applyFill="1" applyBorder="1" applyAlignment="1">
      <alignment horizontal="center" vertical="center" wrapText="1"/>
    </xf>
    <xf numFmtId="0" fontId="115" fillId="36" borderId="3" xfId="0" applyFont="1" applyFill="1" applyBorder="1" applyAlignment="1">
      <alignment horizontal="center" vertical="center" wrapText="1"/>
    </xf>
    <xf numFmtId="0" fontId="115" fillId="36" borderId="12" xfId="0" applyFont="1" applyFill="1" applyBorder="1" applyAlignment="1">
      <alignment horizontal="center" vertical="center" wrapText="1"/>
    </xf>
    <xf numFmtId="0" fontId="115" fillId="8" borderId="6" xfId="0" applyFont="1" applyFill="1" applyBorder="1" applyAlignment="1">
      <alignment horizontal="center" vertical="center" wrapText="1"/>
    </xf>
    <xf numFmtId="0" fontId="115" fillId="8" borderId="12" xfId="0" applyFont="1" applyFill="1" applyBorder="1" applyAlignment="1">
      <alignment horizontal="center" vertical="center" wrapText="1"/>
    </xf>
    <xf numFmtId="0" fontId="117" fillId="0" borderId="0" xfId="0" applyFont="1" applyAlignment="1">
      <alignment horizontal="left"/>
    </xf>
    <xf numFmtId="0" fontId="14" fillId="8" borderId="3" xfId="18" applyFont="1" applyFill="1" applyBorder="1" applyAlignment="1">
      <alignment horizontal="center"/>
    </xf>
    <xf numFmtId="0" fontId="14" fillId="8" borderId="22" xfId="0" applyFont="1" applyFill="1" applyBorder="1" applyAlignment="1">
      <alignment horizontal="center" vertical="center"/>
    </xf>
    <xf numFmtId="0" fontId="80" fillId="0" borderId="16" xfId="0" applyFont="1" applyBorder="1" applyAlignment="1">
      <alignment horizontal="center" vertical="center"/>
    </xf>
    <xf numFmtId="0" fontId="80" fillId="0" borderId="14" xfId="0" applyFont="1" applyBorder="1" applyAlignment="1">
      <alignment horizontal="center" vertical="center"/>
    </xf>
    <xf numFmtId="0" fontId="80" fillId="0" borderId="13" xfId="0" applyFont="1" applyBorder="1" applyAlignment="1">
      <alignment horizontal="center" vertical="center"/>
    </xf>
    <xf numFmtId="0" fontId="80" fillId="0" borderId="17" xfId="0" applyFont="1" applyBorder="1" applyAlignment="1">
      <alignment horizontal="center" vertical="center"/>
    </xf>
    <xf numFmtId="0" fontId="80" fillId="0" borderId="0" xfId="0" applyFont="1" applyAlignment="1">
      <alignment horizontal="center" vertical="center"/>
    </xf>
    <xf numFmtId="0" fontId="80" fillId="0" borderId="18" xfId="0" applyFont="1" applyBorder="1" applyAlignment="1">
      <alignment horizontal="center" vertical="center"/>
    </xf>
    <xf numFmtId="0" fontId="80" fillId="0" borderId="8" xfId="0" applyFont="1" applyBorder="1" applyAlignment="1">
      <alignment horizontal="center" vertical="center"/>
    </xf>
    <xf numFmtId="0" fontId="80" fillId="0" borderId="11" xfId="0" applyFont="1" applyBorder="1" applyAlignment="1">
      <alignment horizontal="center" vertical="center"/>
    </xf>
    <xf numFmtId="0" fontId="80" fillId="0" borderId="19" xfId="0" applyFont="1" applyBorder="1" applyAlignment="1">
      <alignment horizontal="center" vertical="center"/>
    </xf>
    <xf numFmtId="0" fontId="10" fillId="0" borderId="6" xfId="0" applyFont="1" applyBorder="1" applyAlignment="1">
      <alignment horizontal="center"/>
    </xf>
    <xf numFmtId="0" fontId="10" fillId="0" borderId="12" xfId="0" applyFont="1" applyBorder="1" applyAlignment="1">
      <alignment horizontal="center"/>
    </xf>
    <xf numFmtId="0" fontId="81" fillId="0" borderId="16" xfId="0" applyFont="1" applyBorder="1" applyAlignment="1">
      <alignment horizontal="center" vertical="center"/>
    </xf>
    <xf numFmtId="0" fontId="81" fillId="0" borderId="14" xfId="0" applyFont="1" applyBorder="1" applyAlignment="1">
      <alignment horizontal="center" vertical="center"/>
    </xf>
    <xf numFmtId="0" fontId="81" fillId="0" borderId="13" xfId="0" applyFont="1" applyBorder="1" applyAlignment="1">
      <alignment horizontal="center" vertical="center"/>
    </xf>
    <xf numFmtId="0" fontId="81" fillId="0" borderId="17" xfId="0" applyFont="1" applyBorder="1" applyAlignment="1">
      <alignment horizontal="center" vertical="center"/>
    </xf>
    <xf numFmtId="0" fontId="81" fillId="0" borderId="0" xfId="0" applyFont="1" applyAlignment="1">
      <alignment horizontal="center" vertical="center"/>
    </xf>
    <xf numFmtId="0" fontId="81" fillId="0" borderId="18" xfId="0" applyFont="1" applyBorder="1" applyAlignment="1">
      <alignment horizontal="center" vertical="center"/>
    </xf>
    <xf numFmtId="0" fontId="81" fillId="0" borderId="8" xfId="0" applyFont="1" applyBorder="1" applyAlignment="1">
      <alignment horizontal="center" vertical="center"/>
    </xf>
    <xf numFmtId="0" fontId="81" fillId="0" borderId="11" xfId="0" applyFont="1" applyBorder="1" applyAlignment="1">
      <alignment horizontal="center" vertical="center"/>
    </xf>
    <xf numFmtId="0" fontId="81" fillId="0" borderId="19" xfId="0" applyFont="1" applyBorder="1" applyAlignment="1">
      <alignment horizontal="center" vertical="center"/>
    </xf>
    <xf numFmtId="0" fontId="14" fillId="0" borderId="0" xfId="18" applyFont="1" applyAlignment="1">
      <alignment horizontal="left" vertical="top"/>
    </xf>
    <xf numFmtId="0" fontId="14" fillId="0" borderId="6" xfId="0" applyFont="1" applyBorder="1" applyAlignment="1">
      <alignment horizontal="center"/>
    </xf>
    <xf numFmtId="0" fontId="14" fillId="0" borderId="3" xfId="0" applyFont="1" applyBorder="1" applyAlignment="1">
      <alignment horizontal="center"/>
    </xf>
    <xf numFmtId="0" fontId="14" fillId="0" borderId="12" xfId="0" applyFont="1" applyBorder="1" applyAlignment="1">
      <alignment horizontal="center"/>
    </xf>
    <xf numFmtId="0" fontId="0" fillId="0" borderId="0" xfId="0"/>
    <xf numFmtId="0" fontId="14" fillId="0" borderId="0" xfId="0" applyFont="1" applyAlignment="1">
      <alignment wrapText="1"/>
    </xf>
    <xf numFmtId="0" fontId="12" fillId="0" borderId="0" xfId="0" applyFont="1" applyAlignment="1">
      <alignment wrapText="1"/>
    </xf>
    <xf numFmtId="0" fontId="14" fillId="4" borderId="0" xfId="18" applyFont="1" applyFill="1" applyAlignment="1">
      <alignment horizontal="center"/>
    </xf>
    <xf numFmtId="0" fontId="10" fillId="0" borderId="11" xfId="18" applyFont="1" applyBorder="1" applyAlignment="1">
      <alignment horizontal="right"/>
    </xf>
    <xf numFmtId="0" fontId="82" fillId="0" borderId="15" xfId="0" applyFont="1" applyBorder="1" applyAlignment="1">
      <alignment horizontal="center" vertical="center" wrapText="1"/>
    </xf>
    <xf numFmtId="0" fontId="82" fillId="0" borderId="9" xfId="0" applyFont="1" applyBorder="1" applyAlignment="1">
      <alignment horizontal="center" vertical="center" wrapText="1"/>
    </xf>
    <xf numFmtId="0" fontId="82" fillId="0" borderId="7" xfId="0" applyFont="1" applyBorder="1" applyAlignment="1">
      <alignment horizontal="center" vertical="center" wrapText="1"/>
    </xf>
    <xf numFmtId="0" fontId="73" fillId="8" borderId="6" xfId="18" applyFont="1" applyFill="1" applyBorder="1" applyAlignment="1">
      <alignment horizontal="center"/>
    </xf>
    <xf numFmtId="0" fontId="73" fillId="8" borderId="3" xfId="18" applyFont="1" applyFill="1" applyBorder="1" applyAlignment="1">
      <alignment horizontal="center"/>
    </xf>
    <xf numFmtId="0" fontId="73" fillId="8" borderId="12" xfId="18" applyFont="1" applyFill="1" applyBorder="1" applyAlignment="1">
      <alignment horizontal="center"/>
    </xf>
    <xf numFmtId="0" fontId="73" fillId="8" borderId="6" xfId="13" applyFont="1" applyFill="1" applyBorder="1" applyAlignment="1">
      <alignment horizontal="center" vertical="center" wrapText="1"/>
    </xf>
    <xf numFmtId="0" fontId="73" fillId="8" borderId="3" xfId="13" applyFont="1" applyFill="1" applyBorder="1" applyAlignment="1">
      <alignment horizontal="center" vertical="center" wrapText="1"/>
    </xf>
    <xf numFmtId="0" fontId="73" fillId="8" borderId="12" xfId="13" applyFont="1" applyFill="1" applyBorder="1" applyAlignment="1">
      <alignment horizontal="center" vertical="center" wrapText="1"/>
    </xf>
    <xf numFmtId="0" fontId="73" fillId="8" borderId="6" xfId="18" applyFont="1" applyFill="1" applyBorder="1" applyAlignment="1">
      <alignment horizontal="center" wrapText="1"/>
    </xf>
    <xf numFmtId="0" fontId="73" fillId="8" borderId="3" xfId="18" applyFont="1" applyFill="1" applyBorder="1" applyAlignment="1">
      <alignment horizontal="center" wrapText="1"/>
    </xf>
    <xf numFmtId="0" fontId="73" fillId="8" borderId="12" xfId="18" applyFont="1" applyFill="1" applyBorder="1" applyAlignment="1">
      <alignment horizontal="center" wrapText="1"/>
    </xf>
    <xf numFmtId="0" fontId="73" fillId="0" borderId="16" xfId="0" applyFont="1" applyBorder="1" applyAlignment="1">
      <alignment horizontal="center" vertical="center" wrapText="1"/>
    </xf>
    <xf numFmtId="0" fontId="73" fillId="0" borderId="14" xfId="0" applyFont="1" applyBorder="1" applyAlignment="1">
      <alignment horizontal="center" vertical="center" wrapText="1"/>
    </xf>
    <xf numFmtId="0" fontId="73" fillId="0" borderId="13" xfId="0" applyFont="1" applyBorder="1" applyAlignment="1">
      <alignment horizontal="center" vertical="center" wrapText="1"/>
    </xf>
    <xf numFmtId="0" fontId="73" fillId="0" borderId="17" xfId="0" applyFont="1" applyBorder="1" applyAlignment="1">
      <alignment horizontal="center" vertical="center" wrapText="1"/>
    </xf>
    <xf numFmtId="0" fontId="73" fillId="0" borderId="0" xfId="0" applyFont="1" applyAlignment="1">
      <alignment horizontal="center" vertical="center" wrapText="1"/>
    </xf>
    <xf numFmtId="0" fontId="73" fillId="0" borderId="18" xfId="0" applyFont="1" applyBorder="1" applyAlignment="1">
      <alignment horizontal="center" vertical="center" wrapText="1"/>
    </xf>
    <xf numFmtId="0" fontId="73" fillId="0" borderId="8" xfId="0" applyFont="1" applyBorder="1" applyAlignment="1">
      <alignment horizontal="center" vertical="center" wrapText="1"/>
    </xf>
    <xf numFmtId="0" fontId="73" fillId="0" borderId="11" xfId="0" applyFont="1" applyBorder="1" applyAlignment="1">
      <alignment horizontal="center" vertical="center" wrapText="1"/>
    </xf>
    <xf numFmtId="0" fontId="73" fillId="0" borderId="19" xfId="0" applyFont="1" applyBorder="1" applyAlignment="1">
      <alignment horizontal="center" vertical="center" wrapText="1"/>
    </xf>
    <xf numFmtId="0" fontId="14" fillId="20" borderId="0" xfId="18" applyFont="1" applyFill="1" applyAlignment="1">
      <alignment horizontal="left"/>
    </xf>
    <xf numFmtId="0" fontId="10" fillId="0" borderId="11" xfId="18" applyFont="1" applyBorder="1" applyAlignment="1">
      <alignment horizontal="center"/>
    </xf>
    <xf numFmtId="0" fontId="12" fillId="0" borderId="11" xfId="0" applyFont="1" applyBorder="1" applyAlignment="1">
      <alignment horizontal="center"/>
    </xf>
    <xf numFmtId="0" fontId="13" fillId="0" borderId="0" xfId="18" applyFont="1" applyAlignment="1">
      <alignment horizontal="justify" wrapText="1"/>
    </xf>
    <xf numFmtId="0" fontId="12" fillId="0" borderId="0" xfId="0" applyFont="1" applyAlignment="1">
      <alignment horizontal="justify" wrapText="1"/>
    </xf>
    <xf numFmtId="0" fontId="73" fillId="8" borderId="4" xfId="13" applyFont="1" applyFill="1" applyBorder="1" applyAlignment="1">
      <alignment horizontal="center" vertical="center" wrapText="1"/>
    </xf>
    <xf numFmtId="171" fontId="14" fillId="8" borderId="4" xfId="0" applyNumberFormat="1" applyFont="1" applyFill="1" applyBorder="1" applyAlignment="1">
      <alignment horizontal="center" vertical="center" wrapText="1"/>
    </xf>
    <xf numFmtId="170" fontId="14" fillId="8" borderId="15" xfId="0" applyNumberFormat="1" applyFont="1" applyFill="1" applyBorder="1" applyAlignment="1">
      <alignment horizontal="center" vertical="center" wrapText="1"/>
    </xf>
    <xf numFmtId="170" fontId="14" fillId="8" borderId="9" xfId="0" applyNumberFormat="1" applyFont="1" applyFill="1" applyBorder="1" applyAlignment="1">
      <alignment horizontal="center" vertical="center" wrapText="1"/>
    </xf>
    <xf numFmtId="170" fontId="14" fillId="8" borderId="7" xfId="0" applyNumberFormat="1" applyFont="1" applyFill="1" applyBorder="1" applyAlignment="1">
      <alignment horizontal="center" vertical="center" wrapText="1"/>
    </xf>
    <xf numFmtId="0" fontId="10" fillId="0" borderId="15"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7"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0" xfId="0" applyFont="1" applyAlignment="1">
      <alignment horizontal="center" vertical="center" wrapText="1"/>
    </xf>
    <xf numFmtId="0" fontId="14" fillId="0" borderId="18"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9" xfId="0" applyFont="1" applyBorder="1" applyAlignment="1">
      <alignment horizontal="center" vertical="center" wrapText="1"/>
    </xf>
    <xf numFmtId="170" fontId="14" fillId="0" borderId="0" xfId="0" applyNumberFormat="1" applyFont="1" applyAlignment="1">
      <alignment horizontal="left"/>
    </xf>
    <xf numFmtId="0" fontId="18" fillId="0" borderId="0" xfId="13" applyFont="1" applyAlignment="1">
      <alignment horizontal="left" vertical="justify"/>
    </xf>
    <xf numFmtId="0" fontId="14" fillId="8" borderId="15" xfId="13" applyFont="1" applyFill="1" applyBorder="1" applyAlignment="1">
      <alignment horizontal="center" vertical="center" wrapText="1"/>
    </xf>
    <xf numFmtId="0" fontId="14" fillId="8" borderId="9" xfId="13" applyFont="1" applyFill="1" applyBorder="1" applyAlignment="1">
      <alignment horizontal="center" vertical="center" wrapText="1"/>
    </xf>
    <xf numFmtId="0" fontId="14" fillId="8" borderId="7" xfId="13" applyFont="1" applyFill="1" applyBorder="1" applyAlignment="1">
      <alignment horizontal="center" vertical="center" wrapText="1"/>
    </xf>
    <xf numFmtId="0" fontId="14" fillId="8" borderId="16" xfId="13" applyFont="1" applyFill="1" applyBorder="1" applyAlignment="1">
      <alignment horizontal="center" vertical="center" wrapText="1"/>
    </xf>
    <xf numFmtId="0" fontId="14" fillId="8" borderId="13" xfId="13" applyFont="1" applyFill="1" applyBorder="1" applyAlignment="1">
      <alignment horizontal="center" vertical="center" wrapText="1"/>
    </xf>
    <xf numFmtId="0" fontId="14" fillId="8" borderId="17" xfId="13" applyFont="1" applyFill="1" applyBorder="1" applyAlignment="1">
      <alignment horizontal="center" vertical="center" wrapText="1"/>
    </xf>
    <xf numFmtId="0" fontId="14" fillId="8" borderId="18" xfId="13" applyFont="1" applyFill="1" applyBorder="1" applyAlignment="1">
      <alignment horizontal="center" vertical="center" wrapText="1"/>
    </xf>
    <xf numFmtId="0" fontId="14" fillId="8" borderId="8" xfId="13" applyFont="1" applyFill="1" applyBorder="1" applyAlignment="1">
      <alignment horizontal="center" vertical="center" wrapText="1"/>
    </xf>
    <xf numFmtId="0" fontId="14" fillId="8" borderId="19" xfId="13" applyFont="1" applyFill="1" applyBorder="1" applyAlignment="1">
      <alignment horizontal="center" vertical="center" wrapText="1"/>
    </xf>
    <xf numFmtId="0" fontId="13" fillId="0" borderId="0" xfId="0" applyFont="1" applyAlignment="1">
      <alignment horizontal="left" vertical="center"/>
    </xf>
    <xf numFmtId="0" fontId="10" fillId="0" borderId="11" xfId="13" applyFont="1" applyBorder="1" applyAlignment="1">
      <alignment horizontal="center"/>
    </xf>
    <xf numFmtId="0" fontId="41" fillId="9" borderId="15" xfId="0" applyFont="1" applyFill="1" applyBorder="1" applyAlignment="1">
      <alignment horizontal="center" vertical="center" wrapText="1"/>
    </xf>
    <xf numFmtId="0" fontId="41" fillId="9" borderId="7" xfId="0" applyFont="1" applyFill="1" applyBorder="1" applyAlignment="1">
      <alignment horizontal="center" vertical="center" wrapText="1"/>
    </xf>
    <xf numFmtId="0" fontId="41" fillId="9" borderId="4" xfId="0" applyFont="1" applyFill="1" applyBorder="1" applyAlignment="1">
      <alignment horizontal="center" vertical="center"/>
    </xf>
    <xf numFmtId="0" fontId="41" fillId="9" borderId="6" xfId="0" applyFont="1" applyFill="1" applyBorder="1" applyAlignment="1">
      <alignment horizontal="center" vertical="center"/>
    </xf>
    <xf numFmtId="0" fontId="41" fillId="9" borderId="12" xfId="0" applyFont="1" applyFill="1" applyBorder="1" applyAlignment="1">
      <alignment horizontal="center" vertical="center"/>
    </xf>
    <xf numFmtId="0" fontId="63" fillId="0" borderId="0" xfId="0" applyFont="1" applyAlignment="1">
      <alignment horizontal="left" vertical="center"/>
    </xf>
    <xf numFmtId="0" fontId="61" fillId="8" borderId="15" xfId="0" applyFont="1" applyFill="1" applyBorder="1" applyAlignment="1">
      <alignment horizontal="center" vertical="center" wrapText="1"/>
    </xf>
    <xf numFmtId="0" fontId="61" fillId="8" borderId="9" xfId="0" applyFont="1" applyFill="1" applyBorder="1" applyAlignment="1">
      <alignment horizontal="center" vertical="center" wrapText="1"/>
    </xf>
    <xf numFmtId="0" fontId="61" fillId="8" borderId="7" xfId="0" applyFont="1" applyFill="1" applyBorder="1" applyAlignment="1">
      <alignment horizontal="center" vertical="center" wrapText="1"/>
    </xf>
    <xf numFmtId="0" fontId="61" fillId="8" borderId="16" xfId="0" applyFont="1" applyFill="1" applyBorder="1" applyAlignment="1">
      <alignment horizontal="center" vertical="center" wrapText="1"/>
    </xf>
    <xf numFmtId="0" fontId="61" fillId="8" borderId="14" xfId="0" applyFont="1" applyFill="1" applyBorder="1" applyAlignment="1">
      <alignment horizontal="center" vertical="center" wrapText="1"/>
    </xf>
    <xf numFmtId="0" fontId="61" fillId="8" borderId="13" xfId="0" applyFont="1" applyFill="1" applyBorder="1" applyAlignment="1">
      <alignment horizontal="center" vertical="center" wrapText="1"/>
    </xf>
    <xf numFmtId="0" fontId="61" fillId="8" borderId="4" xfId="18" applyFont="1" applyFill="1" applyBorder="1" applyAlignment="1">
      <alignment horizontal="center"/>
    </xf>
    <xf numFmtId="0" fontId="61" fillId="8" borderId="6" xfId="0" applyFont="1" applyFill="1" applyBorder="1" applyAlignment="1">
      <alignment horizontal="center" vertical="center" wrapText="1"/>
    </xf>
    <xf numFmtId="0" fontId="61" fillId="8" borderId="12" xfId="0" applyFont="1" applyFill="1" applyBorder="1" applyAlignment="1">
      <alignment horizontal="center" vertical="center" wrapText="1"/>
    </xf>
    <xf numFmtId="164" fontId="14" fillId="19" borderId="16" xfId="73" applyFont="1" applyFill="1" applyBorder="1" applyAlignment="1">
      <alignment horizontal="center" vertical="center" wrapText="1"/>
    </xf>
    <xf numFmtId="164" fontId="14" fillId="19" borderId="14" xfId="73" applyFont="1" applyFill="1" applyBorder="1" applyAlignment="1">
      <alignment horizontal="center" vertical="center" wrapText="1"/>
    </xf>
    <xf numFmtId="164" fontId="14" fillId="19" borderId="13" xfId="73" applyFont="1" applyFill="1" applyBorder="1" applyAlignment="1">
      <alignment horizontal="center" vertical="center" wrapText="1"/>
    </xf>
    <xf numFmtId="164" fontId="14" fillId="19" borderId="8" xfId="73" applyFont="1" applyFill="1" applyBorder="1" applyAlignment="1">
      <alignment horizontal="center" vertical="center" wrapText="1"/>
    </xf>
    <xf numFmtId="164" fontId="14" fillId="19" borderId="11" xfId="73" applyFont="1" applyFill="1" applyBorder="1" applyAlignment="1">
      <alignment horizontal="center" vertical="center" wrapText="1"/>
    </xf>
    <xf numFmtId="164" fontId="14" fillId="19" borderId="19" xfId="73" applyFont="1" applyFill="1" applyBorder="1" applyAlignment="1">
      <alignment horizontal="center" vertical="center" wrapText="1"/>
    </xf>
    <xf numFmtId="0" fontId="14" fillId="12" borderId="4" xfId="91" applyFont="1" applyFill="1" applyBorder="1" applyAlignment="1">
      <alignment horizontal="center" vertical="center" wrapText="1"/>
    </xf>
    <xf numFmtId="0" fontId="14" fillId="12" borderId="6" xfId="91" applyFont="1" applyFill="1" applyBorder="1" applyAlignment="1">
      <alignment horizontal="center" vertical="center"/>
    </xf>
    <xf numFmtId="0" fontId="14" fillId="12" borderId="3" xfId="91" applyFont="1" applyFill="1" applyBorder="1" applyAlignment="1">
      <alignment horizontal="center" vertical="center"/>
    </xf>
    <xf numFmtId="0" fontId="14" fillId="12" borderId="12" xfId="91" applyFont="1" applyFill="1" applyBorder="1" applyAlignment="1">
      <alignment horizontal="center" vertical="center"/>
    </xf>
    <xf numFmtId="0" fontId="14" fillId="12" borderId="15" xfId="91" applyFont="1" applyFill="1" applyBorder="1" applyAlignment="1">
      <alignment horizontal="center" vertical="center" wrapText="1"/>
    </xf>
    <xf numFmtId="0" fontId="14" fillId="12" borderId="7" xfId="91" applyFont="1" applyFill="1" applyBorder="1" applyAlignment="1">
      <alignment horizontal="center" vertical="center" wrapText="1"/>
    </xf>
    <xf numFmtId="164" fontId="61" fillId="0" borderId="16" xfId="73" applyFont="1" applyFill="1" applyBorder="1" applyAlignment="1">
      <alignment horizontal="center" vertical="center" wrapText="1"/>
    </xf>
    <xf numFmtId="164" fontId="61" fillId="0" borderId="14" xfId="73" applyFont="1" applyFill="1" applyBorder="1" applyAlignment="1">
      <alignment horizontal="center" vertical="center" wrapText="1"/>
    </xf>
    <xf numFmtId="164" fontId="61" fillId="0" borderId="13" xfId="73" applyFont="1" applyFill="1" applyBorder="1" applyAlignment="1">
      <alignment horizontal="center" vertical="center" wrapText="1"/>
    </xf>
    <xf numFmtId="164" fontId="61" fillId="0" borderId="17" xfId="73" applyFont="1" applyFill="1" applyBorder="1" applyAlignment="1">
      <alignment horizontal="center" vertical="center" wrapText="1"/>
    </xf>
    <xf numFmtId="164" fontId="61" fillId="0" borderId="0" xfId="73" applyFont="1" applyFill="1" applyBorder="1" applyAlignment="1">
      <alignment horizontal="center" vertical="center" wrapText="1"/>
    </xf>
    <xf numFmtId="164" fontId="61" fillId="0" borderId="18" xfId="73" applyFont="1" applyFill="1" applyBorder="1" applyAlignment="1">
      <alignment horizontal="center" vertical="center" wrapText="1"/>
    </xf>
    <xf numFmtId="164" fontId="61" fillId="0" borderId="8" xfId="73" applyFont="1" applyFill="1" applyBorder="1" applyAlignment="1">
      <alignment horizontal="center" vertical="center" wrapText="1"/>
    </xf>
    <xf numFmtId="164" fontId="61" fillId="0" borderId="11" xfId="73" applyFont="1" applyFill="1" applyBorder="1" applyAlignment="1">
      <alignment horizontal="center" vertical="center" wrapText="1"/>
    </xf>
    <xf numFmtId="164" fontId="61" fillId="0" borderId="19" xfId="73" applyFont="1" applyFill="1" applyBorder="1" applyAlignment="1">
      <alignment horizontal="center" vertical="center" wrapText="1"/>
    </xf>
    <xf numFmtId="164" fontId="14" fillId="0" borderId="16" xfId="73" applyFont="1" applyFill="1" applyBorder="1" applyAlignment="1">
      <alignment horizontal="center" vertical="center" wrapText="1"/>
    </xf>
    <xf numFmtId="164" fontId="14" fillId="0" borderId="14" xfId="73" applyFont="1" applyFill="1" applyBorder="1" applyAlignment="1">
      <alignment horizontal="center" vertical="center" wrapText="1"/>
    </xf>
    <xf numFmtId="164" fontId="14" fillId="0" borderId="13" xfId="73" applyFont="1" applyFill="1" applyBorder="1" applyAlignment="1">
      <alignment horizontal="center" vertical="center" wrapText="1"/>
    </xf>
    <xf numFmtId="164" fontId="14" fillId="0" borderId="17" xfId="73" applyFont="1" applyFill="1" applyBorder="1" applyAlignment="1">
      <alignment horizontal="center" vertical="center" wrapText="1"/>
    </xf>
    <xf numFmtId="164" fontId="14" fillId="0" borderId="0" xfId="73" applyFont="1" applyFill="1" applyBorder="1" applyAlignment="1">
      <alignment horizontal="center" vertical="center" wrapText="1"/>
    </xf>
    <xf numFmtId="164" fontId="14" fillId="0" borderId="18" xfId="73" applyFont="1" applyFill="1" applyBorder="1" applyAlignment="1">
      <alignment horizontal="center" vertical="center" wrapText="1"/>
    </xf>
    <xf numFmtId="164" fontId="14" fillId="0" borderId="8" xfId="73" applyFont="1" applyFill="1" applyBorder="1" applyAlignment="1">
      <alignment horizontal="center" vertical="center" wrapText="1"/>
    </xf>
    <xf numFmtId="164" fontId="14" fillId="0" borderId="11" xfId="73" applyFont="1" applyFill="1" applyBorder="1" applyAlignment="1">
      <alignment horizontal="center" vertical="center" wrapText="1"/>
    </xf>
    <xf numFmtId="164" fontId="14" fillId="0" borderId="19" xfId="73" applyFont="1" applyFill="1" applyBorder="1" applyAlignment="1">
      <alignment horizontal="center" vertical="center" wrapText="1"/>
    </xf>
    <xf numFmtId="0" fontId="14" fillId="8" borderId="4" xfId="18" applyFont="1" applyFill="1" applyBorder="1" applyAlignment="1">
      <alignment horizontal="center" vertical="center"/>
    </xf>
    <xf numFmtId="0" fontId="14" fillId="8" borderId="4" xfId="18" applyFont="1" applyFill="1" applyBorder="1" applyAlignment="1">
      <alignment horizontal="center" vertical="center" wrapText="1"/>
    </xf>
    <xf numFmtId="0" fontId="14" fillId="12" borderId="6" xfId="91" applyFont="1" applyFill="1" applyBorder="1" applyAlignment="1">
      <alignment horizontal="center" vertical="center" wrapText="1"/>
    </xf>
    <xf numFmtId="0" fontId="14" fillId="12" borderId="12" xfId="91" applyFont="1" applyFill="1" applyBorder="1" applyAlignment="1">
      <alignment horizontal="center" vertical="center" wrapText="1"/>
    </xf>
    <xf numFmtId="0" fontId="14" fillId="8" borderId="6" xfId="18" applyFont="1" applyFill="1" applyBorder="1" applyAlignment="1">
      <alignment horizontal="center" vertical="center" wrapText="1"/>
    </xf>
    <xf numFmtId="0" fontId="14" fillId="8" borderId="12" xfId="18" applyFont="1" applyFill="1" applyBorder="1" applyAlignment="1">
      <alignment horizontal="center" vertical="center" wrapText="1"/>
    </xf>
    <xf numFmtId="164" fontId="0" fillId="0" borderId="16" xfId="73" applyFont="1" applyFill="1" applyBorder="1" applyAlignment="1">
      <alignment horizontal="center" vertical="center"/>
    </xf>
    <xf numFmtId="164" fontId="0" fillId="0" borderId="13" xfId="73" applyFont="1" applyFill="1" applyBorder="1" applyAlignment="1">
      <alignment horizontal="center" vertical="center"/>
    </xf>
    <xf numFmtId="164" fontId="0" fillId="0" borderId="17" xfId="73" applyFont="1" applyFill="1" applyBorder="1" applyAlignment="1">
      <alignment horizontal="center" vertical="center"/>
    </xf>
    <xf numFmtId="164" fontId="0" fillId="0" borderId="18" xfId="73" applyFont="1" applyFill="1" applyBorder="1" applyAlignment="1">
      <alignment horizontal="center" vertical="center"/>
    </xf>
    <xf numFmtId="164" fontId="0" fillId="0" borderId="8" xfId="73" applyFont="1" applyFill="1" applyBorder="1" applyAlignment="1">
      <alignment horizontal="center" vertical="center"/>
    </xf>
    <xf numFmtId="164" fontId="0" fillId="0" borderId="19" xfId="73" applyFont="1" applyFill="1" applyBorder="1" applyAlignment="1">
      <alignment horizontal="center" vertical="center"/>
    </xf>
    <xf numFmtId="0" fontId="14" fillId="8" borderId="6" xfId="18" applyFont="1" applyFill="1" applyBorder="1" applyAlignment="1">
      <alignment horizontal="center" vertical="center"/>
    </xf>
    <xf numFmtId="0" fontId="14" fillId="8" borderId="12" xfId="18" applyFont="1" applyFill="1" applyBorder="1" applyAlignment="1">
      <alignment horizontal="center" vertical="center"/>
    </xf>
    <xf numFmtId="0" fontId="14" fillId="8" borderId="16"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0" fillId="0" borderId="14" xfId="57" applyFont="1" applyBorder="1" applyAlignment="1">
      <alignment horizontal="left" vertical="center" wrapText="1"/>
    </xf>
    <xf numFmtId="0" fontId="73" fillId="0" borderId="0" xfId="18" applyFont="1" applyAlignment="1">
      <alignment horizontal="left" vertical="center"/>
    </xf>
    <xf numFmtId="0" fontId="73" fillId="8" borderId="6" xfId="18" applyFont="1" applyFill="1" applyBorder="1" applyAlignment="1">
      <alignment horizontal="center" vertical="center" wrapText="1"/>
    </xf>
    <xf numFmtId="0" fontId="73" fillId="8" borderId="3" xfId="18" applyFont="1" applyFill="1" applyBorder="1" applyAlignment="1">
      <alignment horizontal="center" vertical="center" wrapText="1"/>
    </xf>
    <xf numFmtId="0" fontId="73" fillId="8" borderId="12" xfId="18" applyFont="1" applyFill="1" applyBorder="1" applyAlignment="1">
      <alignment horizontal="center" vertical="center" wrapText="1"/>
    </xf>
    <xf numFmtId="0" fontId="73" fillId="8" borderId="6" xfId="18" applyFont="1" applyFill="1" applyBorder="1" applyAlignment="1">
      <alignment horizontal="center" vertical="center"/>
    </xf>
    <xf numFmtId="0" fontId="73" fillId="8" borderId="12" xfId="18" applyFont="1" applyFill="1" applyBorder="1" applyAlignment="1">
      <alignment horizontal="center" vertical="center"/>
    </xf>
    <xf numFmtId="0" fontId="29" fillId="0" borderId="0" xfId="0" applyFont="1" applyAlignment="1">
      <alignment horizontal="center" vertical="center"/>
    </xf>
    <xf numFmtId="0" fontId="73" fillId="0" borderId="0" xfId="0" applyFont="1" applyAlignment="1">
      <alignment horizontal="left" vertical="center"/>
    </xf>
    <xf numFmtId="0" fontId="74" fillId="0" borderId="11" xfId="13" applyFont="1" applyBorder="1" applyAlignment="1">
      <alignment horizontal="center" vertical="center"/>
    </xf>
    <xf numFmtId="0" fontId="73" fillId="8" borderId="4" xfId="0" applyFont="1" applyFill="1" applyBorder="1" applyAlignment="1">
      <alignment horizontal="center" vertical="center"/>
    </xf>
    <xf numFmtId="0" fontId="73" fillId="8" borderId="4" xfId="0" applyFont="1" applyFill="1" applyBorder="1" applyAlignment="1">
      <alignment horizontal="center" vertical="center" wrapText="1"/>
    </xf>
    <xf numFmtId="0" fontId="73" fillId="8" borderId="4" xfId="18" applyFont="1" applyFill="1" applyBorder="1" applyAlignment="1">
      <alignment horizontal="center" vertical="center"/>
    </xf>
    <xf numFmtId="0" fontId="73" fillId="4" borderId="0" xfId="18" applyFont="1" applyFill="1" applyAlignment="1">
      <alignment horizontal="center" vertical="center"/>
    </xf>
    <xf numFmtId="0" fontId="73" fillId="8" borderId="16" xfId="0" applyFont="1" applyFill="1" applyBorder="1" applyAlignment="1">
      <alignment horizontal="center" vertical="center" wrapText="1"/>
    </xf>
    <xf numFmtId="0" fontId="73" fillId="8" borderId="14" xfId="0" applyFont="1" applyFill="1" applyBorder="1" applyAlignment="1">
      <alignment horizontal="center" vertical="center" wrapText="1"/>
    </xf>
    <xf numFmtId="164" fontId="73" fillId="0" borderId="16" xfId="73" applyFont="1" applyBorder="1" applyAlignment="1">
      <alignment horizontal="center" vertical="center" wrapText="1"/>
    </xf>
    <xf numFmtId="164" fontId="73" fillId="0" borderId="14" xfId="73" applyFont="1" applyBorder="1" applyAlignment="1">
      <alignment horizontal="center" vertical="center" wrapText="1"/>
    </xf>
    <xf numFmtId="164" fontId="73" fillId="0" borderId="13" xfId="73" applyFont="1" applyBorder="1" applyAlignment="1">
      <alignment horizontal="center" vertical="center" wrapText="1"/>
    </xf>
    <xf numFmtId="164" fontId="73" fillId="0" borderId="17" xfId="73" applyFont="1" applyBorder="1" applyAlignment="1">
      <alignment horizontal="center" vertical="center" wrapText="1"/>
    </xf>
    <xf numFmtId="164" fontId="73" fillId="0" borderId="0" xfId="73" applyFont="1" applyBorder="1" applyAlignment="1">
      <alignment horizontal="center" vertical="center" wrapText="1"/>
    </xf>
    <xf numFmtId="164" fontId="73" fillId="0" borderId="18" xfId="73" applyFont="1" applyBorder="1" applyAlignment="1">
      <alignment horizontal="center" vertical="center" wrapText="1"/>
    </xf>
    <xf numFmtId="164" fontId="73" fillId="0" borderId="8" xfId="73" applyFont="1" applyBorder="1" applyAlignment="1">
      <alignment horizontal="center" vertical="center" wrapText="1"/>
    </xf>
    <xf numFmtId="164" fontId="73" fillId="0" borderId="11" xfId="73" applyFont="1" applyBorder="1" applyAlignment="1">
      <alignment horizontal="center" vertical="center" wrapText="1"/>
    </xf>
    <xf numFmtId="164" fontId="73" fillId="0" borderId="19" xfId="73" applyFont="1" applyBorder="1" applyAlignment="1">
      <alignment horizontal="center" vertical="center" wrapText="1"/>
    </xf>
    <xf numFmtId="0" fontId="61" fillId="0" borderId="0" xfId="18" applyFont="1" applyAlignment="1">
      <alignment horizontal="left"/>
    </xf>
    <xf numFmtId="0" fontId="61" fillId="0" borderId="0" xfId="18" applyFont="1" applyAlignment="1">
      <alignment horizontal="center"/>
    </xf>
    <xf numFmtId="0" fontId="61" fillId="8" borderId="6" xfId="108" applyFont="1" applyFill="1" applyBorder="1" applyAlignment="1">
      <alignment horizontal="center" vertical="center" wrapText="1"/>
    </xf>
    <xf numFmtId="0" fontId="61" fillId="8" borderId="3" xfId="108" applyFont="1" applyFill="1" applyBorder="1" applyAlignment="1">
      <alignment horizontal="center" vertical="center" wrapText="1"/>
    </xf>
    <xf numFmtId="0" fontId="61" fillId="8" borderId="12" xfId="108" applyFont="1" applyFill="1" applyBorder="1" applyAlignment="1">
      <alignment horizontal="center" vertical="center" wrapText="1"/>
    </xf>
    <xf numFmtId="0" fontId="61" fillId="10" borderId="4" xfId="76" applyFont="1" applyFill="1" applyBorder="1" applyAlignment="1">
      <alignment horizontal="center"/>
    </xf>
    <xf numFmtId="0" fontId="61" fillId="8" borderId="4" xfId="108" applyFont="1" applyFill="1" applyBorder="1" applyAlignment="1">
      <alignment horizontal="center" vertical="center" wrapText="1"/>
    </xf>
    <xf numFmtId="0" fontId="61" fillId="0" borderId="14" xfId="76" applyFont="1" applyBorder="1" applyAlignment="1">
      <alignment horizontal="left" vertical="center" wrapText="1"/>
    </xf>
    <xf numFmtId="0" fontId="61" fillId="8" borderId="15" xfId="108" applyFont="1" applyFill="1" applyBorder="1" applyAlignment="1">
      <alignment horizontal="center" vertical="center" wrapText="1"/>
    </xf>
    <xf numFmtId="0" fontId="61" fillId="8" borderId="7" xfId="108" applyFont="1" applyFill="1" applyBorder="1" applyAlignment="1">
      <alignment horizontal="center" vertical="center" wrapText="1"/>
    </xf>
    <xf numFmtId="0" fontId="65" fillId="0" borderId="0" xfId="108" applyFont="1" applyAlignment="1">
      <alignment horizontal="left" vertical="center"/>
    </xf>
    <xf numFmtId="0" fontId="62" fillId="5" borderId="0" xfId="76" applyFont="1" applyFill="1" applyAlignment="1">
      <alignment horizontal="left"/>
    </xf>
    <xf numFmtId="164" fontId="61" fillId="0" borderId="16" xfId="73" applyFont="1" applyFill="1" applyBorder="1" applyAlignment="1">
      <alignment horizontal="center" vertical="center"/>
    </xf>
    <xf numFmtId="164" fontId="61" fillId="0" borderId="14" xfId="73" applyFont="1" applyFill="1" applyBorder="1" applyAlignment="1">
      <alignment horizontal="center" vertical="center"/>
    </xf>
    <xf numFmtId="164" fontId="61" fillId="0" borderId="13" xfId="73" applyFont="1" applyFill="1" applyBorder="1" applyAlignment="1">
      <alignment horizontal="center" vertical="center"/>
    </xf>
    <xf numFmtId="164" fontId="61" fillId="0" borderId="17" xfId="73" applyFont="1" applyFill="1" applyBorder="1" applyAlignment="1">
      <alignment horizontal="center" vertical="center"/>
    </xf>
    <xf numFmtId="164" fontId="61" fillId="0" borderId="0" xfId="73" applyFont="1" applyFill="1" applyBorder="1" applyAlignment="1">
      <alignment horizontal="center" vertical="center"/>
    </xf>
    <xf numFmtId="164" fontId="61" fillId="0" borderId="18" xfId="73" applyFont="1" applyFill="1" applyBorder="1" applyAlignment="1">
      <alignment horizontal="center" vertical="center"/>
    </xf>
    <xf numFmtId="164" fontId="61" fillId="0" borderId="8" xfId="73" applyFont="1" applyFill="1" applyBorder="1" applyAlignment="1">
      <alignment horizontal="center" vertical="center"/>
    </xf>
    <xf numFmtId="164" fontId="61" fillId="0" borderId="11" xfId="73" applyFont="1" applyFill="1" applyBorder="1" applyAlignment="1">
      <alignment horizontal="center" vertical="center"/>
    </xf>
    <xf numFmtId="164" fontId="61" fillId="0" borderId="19" xfId="73" applyFont="1" applyFill="1" applyBorder="1" applyAlignment="1">
      <alignment horizontal="center" vertical="center"/>
    </xf>
    <xf numFmtId="0" fontId="10" fillId="11" borderId="0" xfId="108" applyFont="1" applyFill="1" applyAlignment="1">
      <alignment horizontal="left" vertical="center" wrapText="1"/>
    </xf>
    <xf numFmtId="0" fontId="14" fillId="8" borderId="15" xfId="109" applyFont="1" applyFill="1" applyBorder="1" applyAlignment="1">
      <alignment horizontal="center" vertical="center" wrapText="1"/>
    </xf>
    <xf numFmtId="0" fontId="14" fillId="8" borderId="9" xfId="109" applyFont="1" applyFill="1" applyBorder="1" applyAlignment="1">
      <alignment horizontal="center" vertical="center" wrapText="1"/>
    </xf>
    <xf numFmtId="0" fontId="14" fillId="8" borderId="15" xfId="109" applyFont="1" applyFill="1" applyBorder="1" applyAlignment="1">
      <alignment horizontal="center" vertical="center"/>
    </xf>
    <xf numFmtId="0" fontId="14" fillId="8" borderId="9" xfId="109" applyFont="1" applyFill="1" applyBorder="1" applyAlignment="1">
      <alignment horizontal="center" vertical="center"/>
    </xf>
    <xf numFmtId="0" fontId="14" fillId="8" borderId="7" xfId="109" applyFont="1" applyFill="1" applyBorder="1" applyAlignment="1">
      <alignment horizontal="center" vertical="center" wrapText="1"/>
    </xf>
    <xf numFmtId="0" fontId="92" fillId="0" borderId="16" xfId="109" applyFont="1" applyBorder="1" applyAlignment="1">
      <alignment horizontal="center" vertical="center"/>
    </xf>
    <xf numFmtId="0" fontId="92" fillId="0" borderId="14" xfId="109" applyFont="1" applyBorder="1" applyAlignment="1">
      <alignment horizontal="center" vertical="center"/>
    </xf>
    <xf numFmtId="0" fontId="92" fillId="0" borderId="13" xfId="109" applyFont="1" applyBorder="1" applyAlignment="1">
      <alignment horizontal="center" vertical="center"/>
    </xf>
    <xf numFmtId="0" fontId="92" fillId="0" borderId="17" xfId="109" applyFont="1" applyBorder="1" applyAlignment="1">
      <alignment horizontal="center" vertical="center"/>
    </xf>
    <xf numFmtId="0" fontId="92" fillId="0" borderId="0" xfId="109" applyFont="1" applyAlignment="1">
      <alignment horizontal="center" vertical="center"/>
    </xf>
    <xf numFmtId="0" fontId="92" fillId="0" borderId="18" xfId="109" applyFont="1" applyBorder="1" applyAlignment="1">
      <alignment horizontal="center" vertical="center"/>
    </xf>
    <xf numFmtId="0" fontId="92" fillId="0" borderId="8" xfId="109" applyFont="1" applyBorder="1" applyAlignment="1">
      <alignment horizontal="center" vertical="center"/>
    </xf>
    <xf numFmtId="0" fontId="92" fillId="0" borderId="11" xfId="109" applyFont="1" applyBorder="1" applyAlignment="1">
      <alignment horizontal="center" vertical="center"/>
    </xf>
    <xf numFmtId="0" fontId="92" fillId="0" borderId="19" xfId="109" applyFont="1" applyBorder="1" applyAlignment="1">
      <alignment horizontal="center" vertical="center"/>
    </xf>
    <xf numFmtId="0" fontId="11" fillId="8" borderId="15" xfId="109" applyFont="1" applyFill="1" applyBorder="1" applyAlignment="1">
      <alignment horizontal="center" vertical="center" wrapText="1"/>
    </xf>
    <xf numFmtId="0" fontId="11" fillId="8" borderId="7" xfId="109" applyFont="1" applyFill="1" applyBorder="1" applyAlignment="1">
      <alignment horizontal="center" vertical="center" wrapText="1"/>
    </xf>
    <xf numFmtId="0" fontId="14" fillId="8" borderId="6" xfId="109" applyFont="1" applyFill="1" applyBorder="1" applyAlignment="1">
      <alignment horizontal="center" vertical="center" wrapText="1"/>
    </xf>
    <xf numFmtId="0" fontId="14" fillId="8" borderId="3" xfId="109" applyFont="1" applyFill="1" applyBorder="1" applyAlignment="1">
      <alignment horizontal="center" vertical="center" wrapText="1"/>
    </xf>
    <xf numFmtId="0" fontId="14" fillId="8" borderId="12" xfId="109" applyFont="1" applyFill="1" applyBorder="1" applyAlignment="1">
      <alignment horizontal="center" vertical="center" wrapText="1"/>
    </xf>
    <xf numFmtId="0" fontId="14" fillId="8" borderId="3" xfId="18" applyFont="1" applyFill="1" applyBorder="1" applyAlignment="1">
      <alignment horizontal="center" vertical="center" wrapText="1"/>
    </xf>
    <xf numFmtId="0" fontId="66" fillId="0" borderId="16" xfId="0" applyFont="1" applyBorder="1" applyAlignment="1">
      <alignment horizontal="center" vertical="center" wrapText="1"/>
    </xf>
    <xf numFmtId="0" fontId="66" fillId="0" borderId="14" xfId="0" applyFont="1" applyBorder="1" applyAlignment="1">
      <alignment horizontal="center" vertical="center" wrapText="1"/>
    </xf>
    <xf numFmtId="0" fontId="66" fillId="0" borderId="13" xfId="0" applyFont="1" applyBorder="1" applyAlignment="1">
      <alignment horizontal="center" vertical="center" wrapText="1"/>
    </xf>
    <xf numFmtId="0" fontId="66" fillId="0" borderId="17" xfId="0" applyFont="1" applyBorder="1" applyAlignment="1">
      <alignment horizontal="center" vertical="center" wrapText="1"/>
    </xf>
    <xf numFmtId="0" fontId="66" fillId="0" borderId="0" xfId="0" applyFont="1" applyAlignment="1">
      <alignment horizontal="center" vertical="center" wrapText="1"/>
    </xf>
    <xf numFmtId="0" fontId="66" fillId="0" borderId="18" xfId="0" applyFont="1" applyBorder="1" applyAlignment="1">
      <alignment horizontal="center" vertical="center" wrapText="1"/>
    </xf>
    <xf numFmtId="0" fontId="66" fillId="0" borderId="8" xfId="0" applyFont="1" applyBorder="1" applyAlignment="1">
      <alignment horizontal="center" vertical="center" wrapText="1"/>
    </xf>
    <xf numFmtId="0" fontId="66" fillId="0" borderId="11" xfId="0" applyFont="1" applyBorder="1" applyAlignment="1">
      <alignment horizontal="center" vertical="center" wrapText="1"/>
    </xf>
    <xf numFmtId="0" fontId="66" fillId="0" borderId="19" xfId="0" applyFont="1" applyBorder="1" applyAlignment="1">
      <alignment horizontal="center" vertical="center" wrapText="1"/>
    </xf>
    <xf numFmtId="0" fontId="14" fillId="5" borderId="14" xfId="108" applyFont="1" applyFill="1" applyBorder="1" applyAlignment="1">
      <alignment horizontal="center" vertical="center"/>
    </xf>
    <xf numFmtId="186" fontId="11" fillId="0" borderId="6" xfId="0" applyNumberFormat="1" applyFont="1" applyBorder="1" applyAlignment="1">
      <alignment horizontal="center" vertical="center" wrapText="1"/>
    </xf>
    <xf numFmtId="186" fontId="11" fillId="0" borderId="3" xfId="0" applyNumberFormat="1" applyFont="1" applyBorder="1" applyAlignment="1">
      <alignment horizontal="center" vertical="center" wrapText="1"/>
    </xf>
    <xf numFmtId="186" fontId="11" fillId="0" borderId="12" xfId="0" applyNumberFormat="1" applyFont="1" applyBorder="1" applyAlignment="1">
      <alignment horizontal="center" vertical="center" wrapText="1"/>
    </xf>
    <xf numFmtId="0" fontId="14" fillId="4" borderId="0" xfId="18" applyFont="1" applyFill="1" applyAlignment="1">
      <alignment horizontal="center" vertical="center"/>
    </xf>
    <xf numFmtId="0" fontId="12" fillId="0" borderId="11" xfId="0" applyFont="1" applyBorder="1" applyAlignment="1">
      <alignment horizontal="center" vertical="center"/>
    </xf>
    <xf numFmtId="0" fontId="12" fillId="0" borderId="11" xfId="0" applyFont="1" applyBorder="1" applyAlignment="1">
      <alignment horizontal="right" vertical="center"/>
    </xf>
    <xf numFmtId="0" fontId="73" fillId="8" borderId="6" xfId="0" applyFont="1" applyFill="1" applyBorder="1" applyAlignment="1">
      <alignment horizontal="center" vertical="center" wrapText="1"/>
    </xf>
    <xf numFmtId="0" fontId="73" fillId="8" borderId="12" xfId="0" applyFont="1" applyFill="1" applyBorder="1" applyAlignment="1">
      <alignment horizontal="center" vertical="center" wrapText="1"/>
    </xf>
    <xf numFmtId="0" fontId="73" fillId="0" borderId="0" xfId="18" applyFont="1" applyAlignment="1">
      <alignment horizontal="left"/>
    </xf>
    <xf numFmtId="0" fontId="73" fillId="8" borderId="3" xfId="0" applyFont="1" applyFill="1" applyBorder="1" applyAlignment="1">
      <alignment horizontal="center" vertical="center" wrapText="1"/>
    </xf>
    <xf numFmtId="0" fontId="73" fillId="0" borderId="0" xfId="0" applyFont="1" applyAlignment="1">
      <alignment vertical="center"/>
    </xf>
    <xf numFmtId="0" fontId="73" fillId="4" borderId="0" xfId="18" applyFont="1" applyFill="1" applyAlignment="1">
      <alignment horizontal="center"/>
    </xf>
    <xf numFmtId="0" fontId="73" fillId="8" borderId="4" xfId="18" applyFont="1" applyFill="1" applyBorder="1" applyAlignment="1">
      <alignment horizontal="center"/>
    </xf>
    <xf numFmtId="0" fontId="73" fillId="0" borderId="11" xfId="0" applyFont="1" applyBorder="1" applyAlignment="1">
      <alignment horizontal="center" vertical="center"/>
    </xf>
    <xf numFmtId="0" fontId="10" fillId="0" borderId="11" xfId="0" applyFont="1" applyBorder="1" applyAlignment="1">
      <alignment horizontal="right" vertical="center"/>
    </xf>
    <xf numFmtId="0" fontId="61" fillId="8" borderId="4" xfId="18" applyFont="1" applyFill="1" applyBorder="1" applyAlignment="1">
      <alignment horizontal="center" vertical="center"/>
    </xf>
    <xf numFmtId="0" fontId="14" fillId="8" borderId="5" xfId="13" applyFont="1" applyFill="1" applyBorder="1" applyAlignment="1">
      <alignment horizontal="center" vertical="center"/>
    </xf>
    <xf numFmtId="0" fontId="14" fillId="8" borderId="4" xfId="13" applyFont="1" applyFill="1" applyBorder="1" applyAlignment="1">
      <alignment horizontal="center" vertical="center" wrapText="1"/>
    </xf>
    <xf numFmtId="0" fontId="11" fillId="0" borderId="0" xfId="0" applyFont="1" applyAlignment="1">
      <alignment horizontal="left" vertical="center"/>
    </xf>
    <xf numFmtId="0" fontId="10" fillId="0" borderId="11" xfId="0" applyFont="1" applyBorder="1" applyAlignment="1">
      <alignment horizontal="center" vertical="center"/>
    </xf>
    <xf numFmtId="0" fontId="122" fillId="0" borderId="4" xfId="0" applyFont="1" applyBorder="1" applyAlignment="1">
      <alignment horizontal="center" vertical="center"/>
    </xf>
    <xf numFmtId="0" fontId="104" fillId="4" borderId="0" xfId="18" applyFont="1" applyFill="1" applyAlignment="1">
      <alignment horizontal="left"/>
    </xf>
    <xf numFmtId="0" fontId="14" fillId="0" borderId="0" xfId="75" applyFont="1" applyAlignment="1">
      <alignment horizontal="left"/>
    </xf>
    <xf numFmtId="0" fontId="14" fillId="8" borderId="4" xfId="75" applyFont="1" applyFill="1" applyBorder="1" applyAlignment="1">
      <alignment horizontal="center" vertical="center" wrapText="1"/>
    </xf>
    <xf numFmtId="0" fontId="14" fillId="8" borderId="4" xfId="75" applyFont="1" applyFill="1" applyBorder="1" applyAlignment="1">
      <alignment horizontal="center" vertical="center"/>
    </xf>
    <xf numFmtId="164" fontId="10" fillId="0" borderId="15" xfId="73" applyFont="1" applyFill="1" applyBorder="1" applyAlignment="1">
      <alignment horizontal="center" vertical="center"/>
    </xf>
    <xf numFmtId="164" fontId="10" fillId="0" borderId="9" xfId="73" applyFont="1" applyFill="1" applyBorder="1" applyAlignment="1">
      <alignment horizontal="center" vertical="center"/>
    </xf>
    <xf numFmtId="164" fontId="10" fillId="0" borderId="7" xfId="73" applyFont="1" applyFill="1" applyBorder="1" applyAlignment="1">
      <alignment horizontal="center" vertical="center"/>
    </xf>
    <xf numFmtId="0" fontId="14" fillId="8" borderId="15" xfId="75" applyFont="1" applyFill="1" applyBorder="1" applyAlignment="1">
      <alignment horizontal="center" vertical="center" wrapText="1"/>
    </xf>
    <xf numFmtId="0" fontId="14" fillId="8" borderId="9" xfId="75" applyFont="1" applyFill="1" applyBorder="1" applyAlignment="1">
      <alignment horizontal="center" vertical="center" wrapText="1"/>
    </xf>
    <xf numFmtId="0" fontId="14" fillId="8" borderId="7" xfId="75" applyFont="1" applyFill="1" applyBorder="1" applyAlignment="1">
      <alignment horizontal="center" vertical="center" wrapText="1"/>
    </xf>
    <xf numFmtId="0" fontId="70" fillId="0" borderId="0" xfId="0" applyFont="1" applyAlignment="1">
      <alignment horizontal="left"/>
    </xf>
    <xf numFmtId="10" fontId="10" fillId="0" borderId="15" xfId="59" applyNumberFormat="1" applyFont="1" applyFill="1" applyBorder="1" applyAlignment="1">
      <alignment horizontal="center" vertical="center"/>
    </xf>
    <xf numFmtId="10" fontId="10" fillId="0" borderId="9" xfId="59" applyNumberFormat="1" applyFont="1" applyFill="1" applyBorder="1" applyAlignment="1">
      <alignment horizontal="center" vertical="center"/>
    </xf>
    <xf numFmtId="10" fontId="10" fillId="0" borderId="7" xfId="59" applyNumberFormat="1" applyFont="1" applyFill="1" applyBorder="1" applyAlignment="1">
      <alignment horizontal="center" vertical="center"/>
    </xf>
    <xf numFmtId="0" fontId="14" fillId="8" borderId="4" xfId="0" applyFont="1" applyFill="1" applyBorder="1" applyAlignment="1">
      <alignment vertical="center" wrapText="1"/>
    </xf>
    <xf numFmtId="0" fontId="37" fillId="0" borderId="4" xfId="0" applyFont="1" applyBorder="1" applyAlignment="1">
      <alignment horizontal="left" wrapText="1"/>
    </xf>
    <xf numFmtId="0" fontId="28" fillId="0" borderId="4" xfId="0" applyFont="1" applyBorder="1" applyAlignment="1">
      <alignment horizontal="left" vertical="center"/>
    </xf>
    <xf numFmtId="0" fontId="112" fillId="9" borderId="4" xfId="0" applyFont="1" applyFill="1" applyBorder="1" applyAlignment="1">
      <alignment horizontal="center" vertical="center" wrapText="1"/>
    </xf>
    <xf numFmtId="0" fontId="123" fillId="9" borderId="4" xfId="0" applyFont="1" applyFill="1" applyBorder="1" applyAlignment="1">
      <alignment horizontal="center" vertical="center"/>
    </xf>
    <xf numFmtId="0" fontId="37" fillId="0" borderId="6" xfId="0" applyFont="1" applyBorder="1" applyAlignment="1">
      <alignment horizontal="left"/>
    </xf>
    <xf numFmtId="0" fontId="37" fillId="0" borderId="3" xfId="0" applyFont="1" applyBorder="1" applyAlignment="1">
      <alignment horizontal="left"/>
    </xf>
    <xf numFmtId="0" fontId="37" fillId="0" borderId="12" xfId="0" applyFont="1" applyBorder="1" applyAlignment="1">
      <alignment horizontal="left"/>
    </xf>
    <xf numFmtId="10" fontId="129" fillId="0" borderId="16" xfId="59" applyNumberFormat="1" applyFont="1" applyBorder="1" applyAlignment="1">
      <alignment horizontal="center" vertical="center"/>
    </xf>
    <xf numFmtId="10" fontId="129" fillId="0" borderId="14" xfId="59" applyNumberFormat="1" applyFont="1" applyBorder="1" applyAlignment="1">
      <alignment horizontal="center" vertical="center"/>
    </xf>
    <xf numFmtId="10" fontId="129" fillId="0" borderId="13" xfId="59" applyNumberFormat="1" applyFont="1" applyBorder="1" applyAlignment="1">
      <alignment horizontal="center" vertical="center"/>
    </xf>
    <xf numFmtId="10" fontId="129" fillId="0" borderId="17" xfId="59" applyNumberFormat="1" applyFont="1" applyBorder="1" applyAlignment="1">
      <alignment horizontal="center" vertical="center"/>
    </xf>
    <xf numFmtId="10" fontId="129" fillId="0" borderId="0" xfId="59" applyNumberFormat="1" applyFont="1" applyBorder="1" applyAlignment="1">
      <alignment horizontal="center" vertical="center"/>
    </xf>
    <xf numFmtId="10" fontId="129" fillId="0" borderId="18" xfId="59" applyNumberFormat="1" applyFont="1" applyBorder="1" applyAlignment="1">
      <alignment horizontal="center" vertical="center"/>
    </xf>
    <xf numFmtId="10" fontId="129" fillId="0" borderId="8" xfId="59" applyNumberFormat="1" applyFont="1" applyBorder="1" applyAlignment="1">
      <alignment horizontal="center" vertical="center"/>
    </xf>
    <xf numFmtId="10" fontId="129" fillId="0" borderId="11" xfId="59" applyNumberFormat="1" applyFont="1" applyBorder="1" applyAlignment="1">
      <alignment horizontal="center" vertical="center"/>
    </xf>
    <xf numFmtId="10" fontId="129" fillId="0" borderId="19" xfId="59" applyNumberFormat="1" applyFont="1" applyBorder="1" applyAlignment="1">
      <alignment horizontal="center" vertical="center"/>
    </xf>
    <xf numFmtId="0" fontId="129" fillId="22" borderId="4" xfId="0" applyFont="1" applyFill="1" applyBorder="1" applyAlignment="1">
      <alignment horizontal="center" wrapText="1"/>
    </xf>
    <xf numFmtId="0" fontId="129" fillId="0" borderId="25" xfId="0" applyFont="1" applyBorder="1" applyAlignment="1">
      <alignment horizontal="center"/>
    </xf>
    <xf numFmtId="0" fontId="129" fillId="0" borderId="26" xfId="0" applyFont="1" applyBorder="1" applyAlignment="1">
      <alignment horizontal="center"/>
    </xf>
    <xf numFmtId="0" fontId="129" fillId="0" borderId="27" xfId="0" applyFont="1" applyBorder="1" applyAlignment="1">
      <alignment horizontal="center"/>
    </xf>
    <xf numFmtId="0" fontId="129" fillId="22" borderId="4" xfId="0" applyFont="1" applyFill="1" applyBorder="1" applyAlignment="1">
      <alignment horizontal="center" vertical="center" wrapText="1"/>
    </xf>
    <xf numFmtId="0" fontId="129" fillId="22" borderId="4" xfId="0" applyFont="1" applyFill="1" applyBorder="1" applyAlignment="1">
      <alignment horizontal="center"/>
    </xf>
    <xf numFmtId="0" fontId="129" fillId="22" borderId="36" xfId="0" applyFont="1" applyFill="1" applyBorder="1" applyAlignment="1">
      <alignment horizontal="center"/>
    </xf>
    <xf numFmtId="0" fontId="129" fillId="22" borderId="54" xfId="0" applyFont="1" applyFill="1" applyBorder="1" applyAlignment="1">
      <alignment horizontal="center"/>
    </xf>
    <xf numFmtId="0" fontId="129" fillId="22" borderId="55" xfId="0" applyFont="1" applyFill="1" applyBorder="1" applyAlignment="1">
      <alignment horizontal="center"/>
    </xf>
    <xf numFmtId="0" fontId="129" fillId="22" borderId="56" xfId="0" applyFont="1" applyFill="1" applyBorder="1" applyAlignment="1">
      <alignment horizontal="center"/>
    </xf>
    <xf numFmtId="0" fontId="129" fillId="22" borderId="32" xfId="0" applyFont="1" applyFill="1" applyBorder="1" applyAlignment="1">
      <alignment horizontal="center" wrapText="1"/>
    </xf>
    <xf numFmtId="10" fontId="127" fillId="27" borderId="4" xfId="0" applyNumberFormat="1" applyFont="1" applyFill="1" applyBorder="1" applyAlignment="1">
      <alignment horizontal="center" vertical="center"/>
    </xf>
    <xf numFmtId="0" fontId="129" fillId="22" borderId="22" xfId="0" applyFont="1" applyFill="1" applyBorder="1" applyAlignment="1">
      <alignment horizontal="center"/>
    </xf>
    <xf numFmtId="0" fontId="129" fillId="29" borderId="0" xfId="0" applyFont="1" applyFill="1" applyAlignment="1">
      <alignment horizontal="center" vertical="center" wrapText="1"/>
    </xf>
    <xf numFmtId="0" fontId="129" fillId="0" borderId="41" xfId="0" applyFont="1" applyBorder="1" applyAlignment="1">
      <alignment horizontal="left" wrapText="1"/>
    </xf>
    <xf numFmtId="0" fontId="129" fillId="0" borderId="0" xfId="0" applyFont="1" applyAlignment="1">
      <alignment horizontal="left" wrapText="1"/>
    </xf>
    <xf numFmtId="0" fontId="129" fillId="20" borderId="11" xfId="0" applyFont="1" applyFill="1" applyBorder="1" applyAlignment="1">
      <alignment horizontal="center" wrapText="1"/>
    </xf>
    <xf numFmtId="0" fontId="0" fillId="0" borderId="7"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wrapText="1"/>
    </xf>
    <xf numFmtId="0" fontId="11" fillId="8" borderId="4" xfId="0" applyFont="1" applyFill="1" applyBorder="1" applyAlignment="1">
      <alignment horizontal="center"/>
    </xf>
    <xf numFmtId="0" fontId="11" fillId="0" borderId="15" xfId="0" applyFont="1" applyBorder="1" applyAlignment="1">
      <alignment horizontal="center" vertical="center"/>
    </xf>
    <xf numFmtId="0" fontId="11" fillId="0" borderId="9" xfId="0" applyFont="1" applyBorder="1" applyAlignment="1">
      <alignment horizontal="center" vertical="center"/>
    </xf>
    <xf numFmtId="0" fontId="11" fillId="0" borderId="7" xfId="0" applyFont="1" applyBorder="1" applyAlignment="1">
      <alignment horizontal="center" vertical="center"/>
    </xf>
    <xf numFmtId="0" fontId="10" fillId="0" borderId="0" xfId="0" applyFont="1" applyAlignment="1">
      <alignment horizontal="center"/>
    </xf>
    <xf numFmtId="0" fontId="14" fillId="0" borderId="0" xfId="0" applyFont="1"/>
    <xf numFmtId="0" fontId="10" fillId="0" borderId="0" xfId="0" applyFont="1"/>
    <xf numFmtId="0" fontId="14" fillId="8" borderId="17" xfId="0" applyFont="1" applyFill="1" applyBorder="1" applyAlignment="1">
      <alignment horizontal="center" vertical="center" wrapText="1"/>
    </xf>
    <xf numFmtId="0" fontId="14" fillId="8" borderId="18"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4" fillId="8" borderId="19" xfId="0" applyFont="1" applyFill="1" applyBorder="1" applyAlignment="1">
      <alignment horizontal="center" vertical="center" wrapText="1"/>
    </xf>
    <xf numFmtId="0" fontId="12" fillId="0" borderId="6" xfId="0" applyFont="1" applyBorder="1" applyAlignment="1">
      <alignment horizontal="left"/>
    </xf>
    <xf numFmtId="0" fontId="12" fillId="0" borderId="3" xfId="0" applyFont="1" applyBorder="1" applyAlignment="1">
      <alignment horizontal="left"/>
    </xf>
    <xf numFmtId="0" fontId="93" fillId="0" borderId="15" xfId="0" applyFont="1" applyBorder="1" applyAlignment="1">
      <alignment horizontal="center" vertical="center" wrapText="1"/>
    </xf>
    <xf numFmtId="0" fontId="93" fillId="0" borderId="9" xfId="0" applyFont="1" applyBorder="1" applyAlignment="1">
      <alignment horizontal="center" vertical="center" wrapText="1"/>
    </xf>
    <xf numFmtId="0" fontId="93" fillId="0" borderId="7" xfId="0" applyFont="1" applyBorder="1" applyAlignment="1">
      <alignment horizontal="center" vertical="center" wrapText="1"/>
    </xf>
    <xf numFmtId="0" fontId="14" fillId="6" borderId="4" xfId="0" applyFont="1" applyFill="1" applyBorder="1" applyAlignment="1">
      <alignment horizontal="center" vertical="center" wrapText="1"/>
    </xf>
    <xf numFmtId="164" fontId="14" fillId="5" borderId="15" xfId="73" applyFont="1" applyFill="1" applyBorder="1" applyAlignment="1">
      <alignment horizontal="center" vertical="center"/>
    </xf>
    <xf numFmtId="164" fontId="14" fillId="5" borderId="9" xfId="73" applyFont="1" applyFill="1" applyBorder="1" applyAlignment="1">
      <alignment horizontal="center" vertical="center"/>
    </xf>
    <xf numFmtId="164" fontId="14" fillId="5" borderId="7" xfId="73" applyFont="1" applyFill="1" applyBorder="1" applyAlignment="1">
      <alignment horizontal="center" vertical="center"/>
    </xf>
    <xf numFmtId="0" fontId="11" fillId="0" borderId="0" xfId="0" applyFont="1"/>
    <xf numFmtId="0" fontId="14" fillId="8" borderId="6" xfId="0" applyFont="1" applyFill="1" applyBorder="1" applyAlignment="1">
      <alignment horizontal="center" vertical="center"/>
    </xf>
    <xf numFmtId="0" fontId="14" fillId="8" borderId="3" xfId="0" applyFont="1" applyFill="1" applyBorder="1" applyAlignment="1">
      <alignment horizontal="center" vertical="center"/>
    </xf>
    <xf numFmtId="0" fontId="14" fillId="8" borderId="12" xfId="0" applyFont="1" applyFill="1" applyBorder="1" applyAlignment="1">
      <alignment horizontal="center" vertical="center"/>
    </xf>
    <xf numFmtId="0" fontId="14" fillId="8" borderId="15" xfId="0" applyFont="1" applyFill="1" applyBorder="1" applyAlignment="1">
      <alignment horizontal="left" vertical="center" wrapText="1"/>
    </xf>
    <xf numFmtId="0" fontId="14" fillId="8" borderId="9" xfId="0" applyFont="1" applyFill="1" applyBorder="1" applyAlignment="1">
      <alignment horizontal="left" vertical="center" wrapText="1"/>
    </xf>
    <xf numFmtId="0" fontId="0" fillId="8" borderId="9" xfId="0" applyFill="1" applyBorder="1" applyAlignment="1">
      <alignment horizontal="left" vertical="center" wrapText="1"/>
    </xf>
    <xf numFmtId="0" fontId="0" fillId="8" borderId="7" xfId="0" applyFill="1" applyBorder="1" applyAlignment="1">
      <alignment horizontal="left" vertical="center" wrapText="1"/>
    </xf>
    <xf numFmtId="0" fontId="14" fillId="8" borderId="12" xfId="0" applyFont="1" applyFill="1" applyBorder="1" applyAlignment="1">
      <alignment horizontal="center"/>
    </xf>
    <xf numFmtId="164" fontId="14" fillId="0" borderId="4" xfId="73" applyFont="1" applyFill="1" applyBorder="1" applyAlignment="1">
      <alignment horizontal="center" vertical="center" wrapText="1"/>
    </xf>
    <xf numFmtId="0" fontId="14" fillId="4" borderId="0" xfId="0" applyFont="1" applyFill="1" applyAlignment="1">
      <alignment horizontal="center" vertical="center"/>
    </xf>
    <xf numFmtId="0" fontId="10" fillId="0" borderId="0" xfId="0" applyFont="1" applyAlignment="1">
      <alignment vertical="justify"/>
    </xf>
    <xf numFmtId="0" fontId="0" fillId="0" borderId="0" xfId="0" applyAlignment="1">
      <alignment vertical="justify"/>
    </xf>
    <xf numFmtId="0" fontId="14" fillId="0" borderId="4" xfId="0" applyFont="1" applyBorder="1" applyAlignment="1">
      <alignment horizontal="center"/>
    </xf>
    <xf numFmtId="0" fontId="14" fillId="8" borderId="4" xfId="0" applyFont="1" applyFill="1" applyBorder="1" applyAlignment="1">
      <alignment horizontal="center" vertical="top"/>
    </xf>
    <xf numFmtId="0" fontId="14" fillId="8" borderId="6" xfId="0" applyFont="1" applyFill="1" applyBorder="1" applyAlignment="1">
      <alignment horizontal="center" vertical="top"/>
    </xf>
    <xf numFmtId="0" fontId="14" fillId="8" borderId="12" xfId="0" applyFont="1" applyFill="1" applyBorder="1" applyAlignment="1">
      <alignment horizontal="center" vertical="top"/>
    </xf>
    <xf numFmtId="0" fontId="14" fillId="8" borderId="4" xfId="74" applyFont="1" applyFill="1" applyBorder="1" applyAlignment="1">
      <alignment horizontal="center"/>
    </xf>
    <xf numFmtId="0" fontId="14" fillId="8" borderId="15" xfId="0" applyFont="1" applyFill="1" applyBorder="1" applyAlignment="1">
      <alignment horizontal="justify" vertical="center" wrapText="1"/>
    </xf>
    <xf numFmtId="0" fontId="14" fillId="8" borderId="9" xfId="0" applyFont="1" applyFill="1" applyBorder="1" applyAlignment="1">
      <alignment horizontal="justify" vertical="center" wrapText="1"/>
    </xf>
    <xf numFmtId="0" fontId="14" fillId="8" borderId="7" xfId="0" applyFont="1" applyFill="1" applyBorder="1" applyAlignment="1">
      <alignment horizontal="justify" vertical="center" wrapText="1"/>
    </xf>
    <xf numFmtId="164" fontId="14" fillId="0" borderId="16" xfId="73" applyFont="1" applyFill="1" applyBorder="1" applyAlignment="1">
      <alignment horizontal="center" vertical="center"/>
    </xf>
    <xf numFmtId="164" fontId="14" fillId="0" borderId="13" xfId="73" applyFont="1" applyFill="1" applyBorder="1" applyAlignment="1">
      <alignment horizontal="center" vertical="center"/>
    </xf>
    <xf numFmtId="164" fontId="14" fillId="0" borderId="17" xfId="73" applyFont="1" applyFill="1" applyBorder="1" applyAlignment="1">
      <alignment horizontal="center" vertical="center"/>
    </xf>
    <xf numFmtId="164" fontId="14" fillId="0" borderId="18" xfId="73" applyFont="1" applyFill="1" applyBorder="1" applyAlignment="1">
      <alignment horizontal="center" vertical="center"/>
    </xf>
    <xf numFmtId="164" fontId="14" fillId="0" borderId="8" xfId="73" applyFont="1" applyFill="1" applyBorder="1" applyAlignment="1">
      <alignment horizontal="center" vertical="center"/>
    </xf>
    <xf numFmtId="164" fontId="14" fillId="0" borderId="19" xfId="73" applyFont="1" applyFill="1" applyBorder="1" applyAlignment="1">
      <alignment horizontal="center" vertical="center"/>
    </xf>
    <xf numFmtId="0" fontId="14" fillId="8" borderId="16" xfId="0" applyFont="1" applyFill="1" applyBorder="1" applyAlignment="1">
      <alignment horizontal="center"/>
    </xf>
    <xf numFmtId="0" fontId="14" fillId="8" borderId="13" xfId="0" applyFont="1" applyFill="1" applyBorder="1" applyAlignment="1">
      <alignment horizontal="center"/>
    </xf>
    <xf numFmtId="0" fontId="14" fillId="8" borderId="8" xfId="0" applyFont="1" applyFill="1" applyBorder="1" applyAlignment="1">
      <alignment horizontal="center"/>
    </xf>
    <xf numFmtId="0" fontId="14" fillId="8" borderId="19" xfId="0" applyFont="1" applyFill="1" applyBorder="1" applyAlignment="1">
      <alignment horizontal="center"/>
    </xf>
    <xf numFmtId="0" fontId="10" fillId="0" borderId="0" xfId="0" applyFont="1" applyAlignment="1">
      <alignment wrapText="1"/>
    </xf>
    <xf numFmtId="0" fontId="14" fillId="0" borderId="16" xfId="0" applyFont="1" applyBorder="1" applyAlignment="1">
      <alignment horizontal="center" vertical="center"/>
    </xf>
    <xf numFmtId="0" fontId="14" fillId="0" borderId="13" xfId="0" applyFont="1" applyBorder="1" applyAlignment="1">
      <alignment horizontal="center" vertical="center"/>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4" fillId="0" borderId="8" xfId="0" applyFont="1" applyBorder="1" applyAlignment="1">
      <alignment horizontal="center" vertical="center"/>
    </xf>
    <xf numFmtId="0" fontId="14" fillId="0" borderId="19" xfId="0" applyFont="1" applyBorder="1" applyAlignment="1">
      <alignment horizontal="center" vertical="center"/>
    </xf>
    <xf numFmtId="0" fontId="46" fillId="0" borderId="16"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13" xfId="0" applyFont="1" applyBorder="1" applyAlignment="1">
      <alignment horizontal="center" vertical="center" wrapText="1"/>
    </xf>
    <xf numFmtId="0" fontId="46" fillId="0" borderId="17" xfId="0" applyFont="1" applyBorder="1" applyAlignment="1">
      <alignment horizontal="center" vertical="center" wrapText="1"/>
    </xf>
    <xf numFmtId="0" fontId="46" fillId="0" borderId="0" xfId="0" applyFont="1" applyAlignment="1">
      <alignment horizontal="center" vertical="center" wrapText="1"/>
    </xf>
    <xf numFmtId="0" fontId="46" fillId="0" borderId="18" xfId="0" applyFont="1" applyBorder="1" applyAlignment="1">
      <alignment horizontal="center" vertical="center" wrapText="1"/>
    </xf>
    <xf numFmtId="0" fontId="46" fillId="0" borderId="8" xfId="0" applyFont="1" applyBorder="1" applyAlignment="1">
      <alignment horizontal="center" vertical="center" wrapText="1"/>
    </xf>
    <xf numFmtId="0" fontId="46" fillId="0" borderId="11" xfId="0" applyFont="1" applyBorder="1" applyAlignment="1">
      <alignment horizontal="center" vertical="center" wrapText="1"/>
    </xf>
    <xf numFmtId="0" fontId="46" fillId="0" borderId="19" xfId="0" applyFont="1" applyBorder="1" applyAlignment="1">
      <alignment horizontal="center" vertical="center" wrapText="1"/>
    </xf>
  </cellXfs>
  <cellStyles count="130">
    <cellStyle name="??                          " xfId="77" xr:uid="{00000000-0005-0000-0000-000000000000}"/>
    <cellStyle name="??_kc-elec system check list" xfId="78" xr:uid="{00000000-0005-0000-0000-000001000000}"/>
    <cellStyle name="AeE­ [0]_INQUIRY ¿μ¾÷AßAø " xfId="79" xr:uid="{00000000-0005-0000-0000-000002000000}"/>
    <cellStyle name="AeE­_INQUIRY ¿μ¾÷AßAø " xfId="80" xr:uid="{00000000-0005-0000-0000-000003000000}"/>
    <cellStyle name="AÞ¸¶ [0]_INQUIRY ¿?¾÷AßAø " xfId="81" xr:uid="{00000000-0005-0000-0000-000004000000}"/>
    <cellStyle name="AÞ¸¶_INQUIRY ¿?¾÷AßAø " xfId="82" xr:uid="{00000000-0005-0000-0000-000005000000}"/>
    <cellStyle name="Body" xfId="2" xr:uid="{00000000-0005-0000-0000-000006000000}"/>
    <cellStyle name="C?AØ_¿?¾÷CoE² " xfId="83" xr:uid="{00000000-0005-0000-0000-000007000000}"/>
    <cellStyle name="C￥AØ_¿μ¾÷CoE² " xfId="84" xr:uid="{00000000-0005-0000-0000-000008000000}"/>
    <cellStyle name="Comma" xfId="73" builtinId="3"/>
    <cellStyle name="Comma  - Style1" xfId="4" xr:uid="{00000000-0005-0000-0000-00000A000000}"/>
    <cellStyle name="Comma 10" xfId="36" xr:uid="{00000000-0005-0000-0000-00000B000000}"/>
    <cellStyle name="Comma 11" xfId="39" xr:uid="{00000000-0005-0000-0000-00000C000000}"/>
    <cellStyle name="Comma 11 2" xfId="124" xr:uid="{8DFDF9F8-D358-46CE-9BCF-C83F092F1653}"/>
    <cellStyle name="Comma 12" xfId="32" xr:uid="{00000000-0005-0000-0000-00000D000000}"/>
    <cellStyle name="Comma 12 2 2 2" xfId="113" xr:uid="{00000000-0005-0000-0000-00000E000000}"/>
    <cellStyle name="Comma 13" xfId="44" xr:uid="{00000000-0005-0000-0000-00000F000000}"/>
    <cellStyle name="Comma 14" xfId="47" xr:uid="{00000000-0005-0000-0000-000010000000}"/>
    <cellStyle name="Comma 15" xfId="50" xr:uid="{00000000-0005-0000-0000-000011000000}"/>
    <cellStyle name="Comma 16" xfId="53" xr:uid="{00000000-0005-0000-0000-000012000000}"/>
    <cellStyle name="Comma 2" xfId="5" xr:uid="{00000000-0005-0000-0000-000013000000}"/>
    <cellStyle name="Comma 2 2" xfId="114" xr:uid="{00000000-0005-0000-0000-000014000000}"/>
    <cellStyle name="Comma 2 2 15" xfId="123" xr:uid="{773B35F9-4DE7-4F1F-B620-4623230BE09E}"/>
    <cellStyle name="Comma 2 2 2" xfId="119" xr:uid="{DC45D618-B604-4F5F-AA19-E32BC79731F3}"/>
    <cellStyle name="Comma 2 3" xfId="118" xr:uid="{9E0DCFC4-BD5C-4020-8DCC-7CBB05E96B02}"/>
    <cellStyle name="Comma 3" xfId="3" xr:uid="{00000000-0005-0000-0000-000015000000}"/>
    <cellStyle name="Comma 3 2" xfId="61" xr:uid="{00000000-0005-0000-0000-000016000000}"/>
    <cellStyle name="Comma 4" xfId="19" xr:uid="{00000000-0005-0000-0000-000017000000}"/>
    <cellStyle name="Comma 4 2" xfId="65" xr:uid="{00000000-0005-0000-0000-000018000000}"/>
    <cellStyle name="Comma 5" xfId="22" xr:uid="{00000000-0005-0000-0000-000019000000}"/>
    <cellStyle name="Comma 5 2" xfId="68" xr:uid="{00000000-0005-0000-0000-00001A000000}"/>
    <cellStyle name="Comma 6" xfId="23" xr:uid="{00000000-0005-0000-0000-00001B000000}"/>
    <cellStyle name="Comma 6 2" xfId="69" xr:uid="{00000000-0005-0000-0000-00001C000000}"/>
    <cellStyle name="Comma 7" xfId="28" xr:uid="{00000000-0005-0000-0000-00001D000000}"/>
    <cellStyle name="Comma 8" xfId="31" xr:uid="{00000000-0005-0000-0000-00001E000000}"/>
    <cellStyle name="Comma 8 2" xfId="121" xr:uid="{E640E9DC-5503-4E10-B5C9-9E568CDCF605}"/>
    <cellStyle name="Comma 9" xfId="33" xr:uid="{00000000-0005-0000-0000-00001F000000}"/>
    <cellStyle name="Comma_Formats for GERC - ARR &amp; TF (Draft) Ver 0.1 2" xfId="116" xr:uid="{00000000-0005-0000-0000-000020000000}"/>
    <cellStyle name="Comma0" xfId="85" xr:uid="{00000000-0005-0000-0000-000021000000}"/>
    <cellStyle name="Curren - Style2" xfId="6" xr:uid="{00000000-0005-0000-0000-000022000000}"/>
    <cellStyle name="Currency0" xfId="86" xr:uid="{00000000-0005-0000-0000-000023000000}"/>
    <cellStyle name="Date" xfId="87" xr:uid="{00000000-0005-0000-0000-000024000000}"/>
    <cellStyle name="Fixed" xfId="88" xr:uid="{00000000-0005-0000-0000-000025000000}"/>
    <cellStyle name="Grey" xfId="7" xr:uid="{00000000-0005-0000-0000-000026000000}"/>
    <cellStyle name="Header1" xfId="8" xr:uid="{00000000-0005-0000-0000-000027000000}"/>
    <cellStyle name="Header2" xfId="9" xr:uid="{00000000-0005-0000-0000-000028000000}"/>
    <cellStyle name="Hyperlink" xfId="125" builtinId="8"/>
    <cellStyle name="Hyperlink 2" xfId="127" xr:uid="{3FC4737F-5033-4993-95BC-62DCC5A2943E}"/>
    <cellStyle name="Input [yellow]" xfId="10" xr:uid="{00000000-0005-0000-0000-000029000000}"/>
    <cellStyle name="no dec" xfId="11" xr:uid="{00000000-0005-0000-0000-00002A000000}"/>
    <cellStyle name="Normal" xfId="0" builtinId="0"/>
    <cellStyle name="Normal - Style1" xfId="12" xr:uid="{00000000-0005-0000-0000-00002C000000}"/>
    <cellStyle name="Normal - Style1 2" xfId="89" xr:uid="{00000000-0005-0000-0000-00002D000000}"/>
    <cellStyle name="Normal 10" xfId="37" xr:uid="{00000000-0005-0000-0000-00002E000000}"/>
    <cellStyle name="Normal 10 2 5" xfId="128" xr:uid="{6498B8FA-85A7-4A91-AD08-702A762F13C8}"/>
    <cellStyle name="Normal 11" xfId="40" xr:uid="{00000000-0005-0000-0000-00002F000000}"/>
    <cellStyle name="Normal 12" xfId="42" xr:uid="{00000000-0005-0000-0000-000030000000}"/>
    <cellStyle name="Normal 13" xfId="45" xr:uid="{00000000-0005-0000-0000-000031000000}"/>
    <cellStyle name="Normal 130 2" xfId="126" xr:uid="{C9C8F54C-3978-4F31-AF00-55859F095691}"/>
    <cellStyle name="Normal 14" xfId="48" xr:uid="{00000000-0005-0000-0000-000032000000}"/>
    <cellStyle name="Normal 15" xfId="51" xr:uid="{00000000-0005-0000-0000-000033000000}"/>
    <cellStyle name="Normal 16" xfId="54" xr:uid="{00000000-0005-0000-0000-000034000000}"/>
    <cellStyle name="Normal 17" xfId="76" xr:uid="{00000000-0005-0000-0000-000035000000}"/>
    <cellStyle name="Normal 18" xfId="90" xr:uid="{00000000-0005-0000-0000-000036000000}"/>
    <cellStyle name="Normal 19" xfId="117" xr:uid="{00000000-0005-0000-0000-000037000000}"/>
    <cellStyle name="Normal 2" xfId="13" xr:uid="{00000000-0005-0000-0000-000038000000}"/>
    <cellStyle name="Normal 2 2" xfId="91" xr:uid="{00000000-0005-0000-0000-000039000000}"/>
    <cellStyle name="Normal 2 2 4" xfId="129" xr:uid="{FD2FA6C8-77C3-4DBC-8F0A-72267D51C4C8}"/>
    <cellStyle name="Normal 2 20" xfId="111" xr:uid="{00000000-0005-0000-0000-00003A000000}"/>
    <cellStyle name="Normal 2 5" xfId="108" xr:uid="{00000000-0005-0000-0000-00003B000000}"/>
    <cellStyle name="Normal 20 2" xfId="115" xr:uid="{00000000-0005-0000-0000-00003C000000}"/>
    <cellStyle name="Normal 3" xfId="1" xr:uid="{00000000-0005-0000-0000-00003D000000}"/>
    <cellStyle name="Normal 3 2" xfId="60" xr:uid="{00000000-0005-0000-0000-00003E000000}"/>
    <cellStyle name="Normal 3 3" xfId="110" xr:uid="{00000000-0005-0000-0000-00003F000000}"/>
    <cellStyle name="Normal 4" xfId="18" xr:uid="{00000000-0005-0000-0000-000040000000}"/>
    <cellStyle name="Normal 4 10" xfId="120" xr:uid="{E657DC4F-03F7-41DB-B590-EED8EF2A5A2D}"/>
    <cellStyle name="Normal 4 2" xfId="64" xr:uid="{00000000-0005-0000-0000-000041000000}"/>
    <cellStyle name="Normal 5" xfId="21" xr:uid="{00000000-0005-0000-0000-000042000000}"/>
    <cellStyle name="Normal 5 2" xfId="67" xr:uid="{00000000-0005-0000-0000-000043000000}"/>
    <cellStyle name="Normal 6" xfId="24" xr:uid="{00000000-0005-0000-0000-000044000000}"/>
    <cellStyle name="Normal 6 2" xfId="70" xr:uid="{00000000-0005-0000-0000-000045000000}"/>
    <cellStyle name="Normal 7" xfId="27" xr:uid="{00000000-0005-0000-0000-000046000000}"/>
    <cellStyle name="Normal 8" xfId="30" xr:uid="{00000000-0005-0000-0000-000047000000}"/>
    <cellStyle name="Normal 9" xfId="34" xr:uid="{00000000-0005-0000-0000-000048000000}"/>
    <cellStyle name="Normal 9 11" xfId="122" xr:uid="{09C15279-C0D1-4559-8F3E-6FF3EAF00D82}"/>
    <cellStyle name="Normal_01- ARR Forms 04-05 Final " xfId="57" xr:uid="{00000000-0005-0000-0000-000049000000}"/>
    <cellStyle name="Normal_annex ARR " xfId="58" xr:uid="{00000000-0005-0000-0000-00004A000000}"/>
    <cellStyle name="Normal_FORMATS 5 YEAR ALOKE" xfId="106" xr:uid="{00000000-0005-0000-0000-00004C000000}"/>
    <cellStyle name="Normal_FORMATS 5 YEAR ALOKE 2" xfId="107" xr:uid="{00000000-0005-0000-0000-00004D000000}"/>
    <cellStyle name="Normal_FORMATS 5 YEAR ALOKE 2 2" xfId="109" xr:uid="{00000000-0005-0000-0000-00004E000000}"/>
    <cellStyle name="Normal_performance" xfId="74" xr:uid="{00000000-0005-0000-0000-00004F000000}"/>
    <cellStyle name="Normal_Transco-MYT_Formats-0207" xfId="75" xr:uid="{00000000-0005-0000-0000-000050000000}"/>
    <cellStyle name="Percent" xfId="59" builtinId="5"/>
    <cellStyle name="Percent [0]_#6 Temps &amp; Contractors" xfId="15" xr:uid="{00000000-0005-0000-0000-000052000000}"/>
    <cellStyle name="Percent [2]" xfId="16" xr:uid="{00000000-0005-0000-0000-000053000000}"/>
    <cellStyle name="Percent [2] 2" xfId="63" xr:uid="{00000000-0005-0000-0000-000054000000}"/>
    <cellStyle name="Percent 10" xfId="43" xr:uid="{00000000-0005-0000-0000-000055000000}"/>
    <cellStyle name="Percent 11" xfId="46" xr:uid="{00000000-0005-0000-0000-000056000000}"/>
    <cellStyle name="Percent 114" xfId="112" xr:uid="{00000000-0005-0000-0000-000057000000}"/>
    <cellStyle name="Percent 12" xfId="49" xr:uid="{00000000-0005-0000-0000-000058000000}"/>
    <cellStyle name="Percent 13" xfId="52" xr:uid="{00000000-0005-0000-0000-000059000000}"/>
    <cellStyle name="Percent 14" xfId="55" xr:uid="{00000000-0005-0000-0000-00005A000000}"/>
    <cellStyle name="Percent 15" xfId="56" xr:uid="{00000000-0005-0000-0000-00005B000000}"/>
    <cellStyle name="Percent 2" xfId="14" xr:uid="{00000000-0005-0000-0000-00005C000000}"/>
    <cellStyle name="Percent 2 2" xfId="62" xr:uid="{00000000-0005-0000-0000-00005D000000}"/>
    <cellStyle name="Percent 3" xfId="20" xr:uid="{00000000-0005-0000-0000-00005E000000}"/>
    <cellStyle name="Percent 3 2" xfId="66" xr:uid="{00000000-0005-0000-0000-00005F000000}"/>
    <cellStyle name="Percent 4" xfId="25" xr:uid="{00000000-0005-0000-0000-000060000000}"/>
    <cellStyle name="Percent 4 2" xfId="71" xr:uid="{00000000-0005-0000-0000-000061000000}"/>
    <cellStyle name="Percent 5" xfId="26" xr:uid="{00000000-0005-0000-0000-000062000000}"/>
    <cellStyle name="Percent 5 2" xfId="72" xr:uid="{00000000-0005-0000-0000-000063000000}"/>
    <cellStyle name="Percent 6" xfId="29" xr:uid="{00000000-0005-0000-0000-000064000000}"/>
    <cellStyle name="Percent 7" xfId="35" xr:uid="{00000000-0005-0000-0000-000065000000}"/>
    <cellStyle name="Percent 8" xfId="38" xr:uid="{00000000-0005-0000-0000-000066000000}"/>
    <cellStyle name="Percent 9" xfId="41" xr:uid="{00000000-0005-0000-0000-000067000000}"/>
    <cellStyle name="Style 1" xfId="17" xr:uid="{00000000-0005-0000-0000-000068000000}"/>
    <cellStyle name="Style 1 2" xfId="92" xr:uid="{00000000-0005-0000-0000-000069000000}"/>
    <cellStyle name="똿뗦먛귟 [0.00]_PRODUCT DETAIL Q1" xfId="93" xr:uid="{00000000-0005-0000-0000-00006A000000}"/>
    <cellStyle name="똿뗦먛귟_PRODUCT DETAIL Q1" xfId="94" xr:uid="{00000000-0005-0000-0000-00006B000000}"/>
    <cellStyle name="믅됞 [0.00]_PRODUCT DETAIL Q1" xfId="95" xr:uid="{00000000-0005-0000-0000-00006C000000}"/>
    <cellStyle name="믅됞_PRODUCT DETAIL Q1" xfId="96" xr:uid="{00000000-0005-0000-0000-00006D000000}"/>
    <cellStyle name="백분율_HOBONG" xfId="97" xr:uid="{00000000-0005-0000-0000-00006E000000}"/>
    <cellStyle name="뷭?_BOOKSHIP" xfId="98" xr:uid="{00000000-0005-0000-0000-00006F000000}"/>
    <cellStyle name="콤마 [0]_1202" xfId="99" xr:uid="{00000000-0005-0000-0000-000070000000}"/>
    <cellStyle name="콤마_1202" xfId="100" xr:uid="{00000000-0005-0000-0000-000071000000}"/>
    <cellStyle name="통화 [0]_1202" xfId="101" xr:uid="{00000000-0005-0000-0000-000072000000}"/>
    <cellStyle name="통화_1202" xfId="102" xr:uid="{00000000-0005-0000-0000-000073000000}"/>
    <cellStyle name="표준_(정보부문)월별인원계획" xfId="103" xr:uid="{00000000-0005-0000-0000-000074000000}"/>
    <cellStyle name="一般_07069.74ID10.0925" xfId="104" xr:uid="{00000000-0005-0000-0000-000075000000}"/>
    <cellStyle name="千分位_07069.74ID10.0925" xfId="105" xr:uid="{00000000-0005-0000-0000-000076000000}"/>
  </cellStyles>
  <dxfs count="0"/>
  <tableStyles count="0" defaultTableStyle="TableStyleMedium2" defaultPivotStyle="PivotStyleLight16"/>
  <colors>
    <mruColors>
      <color rgb="FF00FFFF"/>
      <color rgb="FF00CCFF"/>
      <color rgb="FF66FFCC"/>
      <color rgb="FF00FF99"/>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E:\Zoho%20WorkDrive%20(ghansham%20Thakkar)\Energyoptimaa\NIDP%20Tariff\Data\MYT%20Format%20-%20NIDP-MARCH%2025%20%2008052025.xlsx" TargetMode="External"/><Relationship Id="rId1" Type="http://schemas.openxmlformats.org/officeDocument/2006/relationships/externalLinkPath" Target="file:///E:\Zoho%20WorkDrive%20(ghansham%20Thakkar)\Energyoptimaa\NIDP%20Tariff\Data\MYT%20Format%20-%20NIDP-MARCH%2025%20%200805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Jitendra\Downloads\Draft%20FS%20NIDP_FY%202024-25%20-%20DC-PD%20(1).xlsx" TargetMode="External"/><Relationship Id="rId1" Type="http://schemas.openxmlformats.org/officeDocument/2006/relationships/externalLinkPath" Target="file:///C:\Users\Jitendra\Downloads\Draft%20FS%20NIDP_FY%202024-25%20-%20DC-PD%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E:\Zoho%20WorkDrive%20(ghansham%20Thakkar)\Energyoptimaa\NIDP%20Tariff\NIDP%20Tariff%20model.xlsx" TargetMode="External"/><Relationship Id="rId1" Type="http://schemas.openxmlformats.org/officeDocument/2006/relationships/externalLinkPath" Target="file:///E:\Zoho%20WorkDrive%20(ghansham%20Thakkar)\Energyoptimaa\NIDP%20Tariff\NIDP%20Tariff%20model.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E:\Zoho%20WorkDrive%20(ghansham%20Thakkar)\Energyoptimaa\NIDP%20Tariff\Data\Draft%20FS%20NIDP_31.03.2025.xlsx" TargetMode="External"/><Relationship Id="rId1" Type="http://schemas.openxmlformats.org/officeDocument/2006/relationships/externalLinkPath" Target="file:///E:\Zoho%20WorkDrive%20(ghansham%20Thakkar)\Energyoptimaa\NIDP%20Tariff\Data\Draft%20FS%20NIDP_31.03.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B."/>
      <sheetName val="Loss"/>
      <sheetName val="Sales"/>
      <sheetName val="PP"/>
      <sheetName val="Rebate and tax details "/>
      <sheetName val="RPO"/>
      <sheetName val="O&amp;M"/>
      <sheetName val="Efficiency"/>
      <sheetName val="Demand"/>
      <sheetName val="Demand Curve"/>
    </sheetNames>
    <sheetDataSet>
      <sheetData sheetId="0" refreshError="1"/>
      <sheetData sheetId="1" refreshError="1"/>
      <sheetData sheetId="2" refreshError="1"/>
      <sheetData sheetId="3">
        <row r="23">
          <cell r="F23">
            <v>1.9011075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S"/>
      <sheetName val="PL"/>
      <sheetName val="PPE"/>
      <sheetName val="Notes BS"/>
      <sheetName val="Notes P&amp;L"/>
      <sheetName val="Notes"/>
      <sheetName val="Schedule NIDP"/>
      <sheetName val="TB-M25-DC"/>
      <sheetName val="JV-M25-DC"/>
      <sheetName val="TB-M25-PD"/>
      <sheetName val="JV-M25-PD"/>
      <sheetName val="TB-SAP-PD"/>
      <sheetName val="TB-SAP-DC"/>
    </sheetNames>
    <sheetDataSet>
      <sheetData sheetId="0">
        <row r="15">
          <cell r="G15">
            <v>0.12435</v>
          </cell>
        </row>
        <row r="25">
          <cell r="G25">
            <v>187.01436660000002</v>
          </cell>
        </row>
        <row r="52">
          <cell r="G52">
            <v>44.845615400000021</v>
          </cell>
        </row>
      </sheetData>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sheetName val="Summary "/>
      <sheetName val="CAPEX"/>
      <sheetName val="Cost"/>
      <sheetName val="Financial"/>
      <sheetName val="Assumption"/>
      <sheetName val="ReCo"/>
      <sheetName val="ARR"/>
      <sheetName val="True-up"/>
      <sheetName val="APR"/>
      <sheetName val="ARR 26-27"/>
      <sheetName val="Expected Revenue "/>
    </sheetNames>
    <sheetDataSet>
      <sheetData sheetId="0">
        <row r="54">
          <cell r="D54">
            <v>1.582926858</v>
          </cell>
          <cell r="E54">
            <v>2.5088664019999998</v>
          </cell>
          <cell r="F54">
            <v>2.8693458999999999</v>
          </cell>
          <cell r="G54">
            <v>3.5621187459999999</v>
          </cell>
          <cell r="H54">
            <v>2.7822410460000002</v>
          </cell>
          <cell r="I54">
            <v>2.8687860440000001</v>
          </cell>
          <cell r="J54">
            <v>3.0281464490000003</v>
          </cell>
          <cell r="K54">
            <v>1.6443044E-2</v>
          </cell>
          <cell r="L54">
            <v>1.6991145999999999E-2</v>
          </cell>
          <cell r="M54">
            <v>1.6991099999999999E-2</v>
          </cell>
          <cell r="N54">
            <v>1.5297099999999999E-2</v>
          </cell>
        </row>
        <row r="55">
          <cell r="K55">
            <v>2.6637705999999999</v>
          </cell>
          <cell r="L55">
            <v>2.5223171999999998</v>
          </cell>
          <cell r="M55">
            <v>2.5647069999999998</v>
          </cell>
          <cell r="N55">
            <v>2.5084770000000001</v>
          </cell>
        </row>
        <row r="73">
          <cell r="P73">
            <v>5</v>
          </cell>
          <cell r="Q73">
            <v>5.989784543010753</v>
          </cell>
          <cell r="R73">
            <v>6.2263927777777779</v>
          </cell>
          <cell r="S73">
            <v>6.3097206317204302</v>
          </cell>
          <cell r="T73">
            <v>6.551437365591398</v>
          </cell>
          <cell r="U73">
            <v>6.8847208333333336</v>
          </cell>
          <cell r="V73">
            <v>6.813519982433939</v>
          </cell>
          <cell r="W73">
            <v>6</v>
          </cell>
          <cell r="X73">
            <v>6</v>
          </cell>
          <cell r="Y73">
            <v>6</v>
          </cell>
          <cell r="Z73">
            <v>6</v>
          </cell>
          <cell r="AA73">
            <v>6</v>
          </cell>
        </row>
        <row r="79">
          <cell r="AB79">
            <v>11</v>
          </cell>
          <cell r="AC79">
            <v>11</v>
          </cell>
          <cell r="AD79">
            <v>11</v>
          </cell>
          <cell r="AE79">
            <v>12</v>
          </cell>
          <cell r="AF79">
            <v>12</v>
          </cell>
          <cell r="AG79">
            <v>12</v>
          </cell>
          <cell r="AH79">
            <v>13</v>
          </cell>
          <cell r="AI79">
            <v>13</v>
          </cell>
          <cell r="AJ79">
            <v>13</v>
          </cell>
          <cell r="AK79">
            <v>15</v>
          </cell>
          <cell r="AL79">
            <v>15</v>
          </cell>
          <cell r="AM79">
            <v>15</v>
          </cell>
        </row>
        <row r="82">
          <cell r="D82">
            <v>1.9011075</v>
          </cell>
          <cell r="E82">
            <v>2.6343399999999999</v>
          </cell>
          <cell r="F82">
            <v>3.0080374999999999</v>
          </cell>
          <cell r="G82">
            <v>3.1803400000000002</v>
          </cell>
          <cell r="H82">
            <v>3.2203875000000002</v>
          </cell>
          <cell r="I82">
            <v>3.3605299999999998</v>
          </cell>
          <cell r="J82">
            <v>3.5169774999999999</v>
          </cell>
        </row>
        <row r="83">
          <cell r="L83">
            <v>3.645</v>
          </cell>
          <cell r="M83">
            <v>3.72</v>
          </cell>
          <cell r="N83">
            <v>3.34375</v>
          </cell>
          <cell r="O83">
            <v>3.72</v>
          </cell>
          <cell r="P83">
            <v>1.516648</v>
          </cell>
          <cell r="W83">
            <v>3.6720000000000002</v>
          </cell>
          <cell r="X83">
            <v>3.7943999999999996</v>
          </cell>
          <cell r="Y83">
            <v>3.7943999999999996</v>
          </cell>
          <cell r="Z83">
            <v>3.4272</v>
          </cell>
          <cell r="AA83">
            <v>3.7943999999999996</v>
          </cell>
        </row>
        <row r="84">
          <cell r="D84">
            <v>0</v>
          </cell>
          <cell r="E84">
            <v>9.7872011499999995E-2</v>
          </cell>
          <cell r="G84">
            <v>0.12397</v>
          </cell>
          <cell r="H84">
            <v>0.113415</v>
          </cell>
          <cell r="I84">
            <v>1.1455999999999999E-2</v>
          </cell>
          <cell r="J84">
            <v>4.4999999999999999E-4</v>
          </cell>
          <cell r="K84">
            <v>3.5892584176822999</v>
          </cell>
          <cell r="L84">
            <v>5.0996E-2</v>
          </cell>
          <cell r="M84">
            <v>0</v>
          </cell>
          <cell r="N84">
            <v>9.0939000000000006E-2</v>
          </cell>
          <cell r="O84">
            <v>0.28956451750000001</v>
          </cell>
          <cell r="P84">
            <v>2.6611238999999998</v>
          </cell>
          <cell r="Q84">
            <v>0.73639969999999999</v>
          </cell>
          <cell r="R84">
            <v>0.88300280000000009</v>
          </cell>
          <cell r="S84">
            <v>0.97443215000000005</v>
          </cell>
          <cell r="T84">
            <v>4.8742694000000002</v>
          </cell>
          <cell r="U84">
            <v>4.9569989999999997</v>
          </cell>
          <cell r="V84">
            <v>5.0692588669308503</v>
          </cell>
          <cell r="W84">
            <v>1.9197425119820815</v>
          </cell>
          <cell r="X84">
            <v>1.9837339290481513</v>
          </cell>
          <cell r="Y84">
            <v>2.8467732952093128</v>
          </cell>
          <cell r="Z84">
            <v>2.5712791053503468</v>
          </cell>
          <cell r="AA84">
            <v>2.8467732952093128</v>
          </cell>
          <cell r="AB84">
            <v>0.59555775484447704</v>
          </cell>
          <cell r="AC84">
            <v>0.61540968000596141</v>
          </cell>
          <cell r="AD84">
            <v>0.59555775484447704</v>
          </cell>
          <cell r="AE84">
            <v>0.93855178196455125</v>
          </cell>
          <cell r="AF84">
            <v>0.93855178196455125</v>
          </cell>
          <cell r="AG84">
            <v>0.90827591803021246</v>
          </cell>
          <cell r="AH84">
            <v>1.1815997116342221</v>
          </cell>
          <cell r="AI84">
            <v>1.1434835919040873</v>
          </cell>
          <cell r="AJ84">
            <v>1.1815997116342221</v>
          </cell>
          <cell r="AK84">
            <v>0.8164621585075178</v>
          </cell>
          <cell r="AL84">
            <v>0.73744969155517737</v>
          </cell>
          <cell r="AM84">
            <v>0.8164621585075178</v>
          </cell>
        </row>
        <row r="85">
          <cell r="D85">
            <v>-1.4223467775252852E-2</v>
          </cell>
          <cell r="E85">
            <v>6.9512260344671173E-2</v>
          </cell>
          <cell r="F85">
            <v>7.0025522133843054E-4</v>
          </cell>
          <cell r="G85">
            <v>5.326054327618257E-2</v>
          </cell>
          <cell r="H85">
            <v>3.5658520450330577E-2</v>
          </cell>
          <cell r="I85">
            <v>5.1833128279281659E-2</v>
          </cell>
          <cell r="J85">
            <v>8.4912677649246593E-2</v>
          </cell>
          <cell r="K85">
            <v>-7.4485478206974154E-2</v>
          </cell>
          <cell r="L85">
            <v>-0.19067065399710792</v>
          </cell>
          <cell r="M85">
            <v>-0.22233840115677506</v>
          </cell>
          <cell r="N85">
            <v>7.984001445982436E-3</v>
          </cell>
          <cell r="O85">
            <v>6.1595201566308155E-2</v>
          </cell>
          <cell r="P85">
            <v>9.7124237161743565E-2</v>
          </cell>
          <cell r="Q85">
            <v>6.0396664387524002E-2</v>
          </cell>
          <cell r="R85">
            <v>3.1508334063210075E-2</v>
          </cell>
          <cell r="S85">
            <v>8.4096914242924203E-2</v>
          </cell>
          <cell r="T85">
            <v>0.11903198401156878</v>
          </cell>
          <cell r="U85">
            <v>4.1633100805610113E-2</v>
          </cell>
        </row>
        <row r="86">
          <cell r="Q86">
            <v>3.72</v>
          </cell>
          <cell r="R86">
            <v>3.6</v>
          </cell>
          <cell r="S86">
            <v>3.72</v>
          </cell>
        </row>
        <row r="87">
          <cell r="AB87">
            <v>6.7320000000000002</v>
          </cell>
          <cell r="AC87">
            <v>6.9563999999999995</v>
          </cell>
          <cell r="AD87">
            <v>6.7320000000000002</v>
          </cell>
          <cell r="AE87">
            <v>7.5888</v>
          </cell>
          <cell r="AF87">
            <v>7.5888</v>
          </cell>
          <cell r="AG87">
            <v>7.3440000000000003</v>
          </cell>
          <cell r="AH87">
            <v>8.2211999999999996</v>
          </cell>
          <cell r="AI87">
            <v>7.9559999999999986</v>
          </cell>
          <cell r="AJ87">
            <v>8.2211999999999996</v>
          </cell>
          <cell r="AK87">
            <v>9.4860000000000007</v>
          </cell>
          <cell r="AL87">
            <v>8.5679999999999996</v>
          </cell>
          <cell r="AM87">
            <v>9.4860000000000007</v>
          </cell>
        </row>
        <row r="98">
          <cell r="D98">
            <v>1.2471265199999999</v>
          </cell>
          <cell r="E98">
            <v>1.7281270399999997</v>
          </cell>
          <cell r="F98">
            <v>1.9732726</v>
          </cell>
          <cell r="G98">
            <v>2.0863030399999998</v>
          </cell>
          <cell r="H98">
            <v>2.1125742000000001</v>
          </cell>
          <cell r="I98">
            <v>2.2045076799999999</v>
          </cell>
          <cell r="J98">
            <v>2.3071372399999999</v>
          </cell>
        </row>
        <row r="99">
          <cell r="L99">
            <v>1.9865249999999999</v>
          </cell>
          <cell r="M99">
            <v>2.0274000000000001</v>
          </cell>
          <cell r="N99">
            <v>1.8223437499999999</v>
          </cell>
          <cell r="O99">
            <v>2.0274000000000001</v>
          </cell>
          <cell r="P99">
            <v>0.82657316000000003</v>
          </cell>
          <cell r="W99">
            <v>1.8800640000000002</v>
          </cell>
          <cell r="X99">
            <v>1.9427327999999999</v>
          </cell>
          <cell r="Z99">
            <v>1.7547264000000002</v>
          </cell>
          <cell r="AA99">
            <v>1.9427327999999999</v>
          </cell>
        </row>
        <row r="100">
          <cell r="E100">
            <v>5.5538552000000005E-2</v>
          </cell>
          <cell r="F100">
            <v>5.7041459999999898E-3</v>
          </cell>
          <cell r="G100">
            <v>7.6212426E-2</v>
          </cell>
          <cell r="H100">
            <v>5.3416873999999996E-2</v>
          </cell>
          <cell r="I100">
            <v>6.6404539999999996E-3</v>
          </cell>
          <cell r="J100">
            <v>7.9384300000000002E-4</v>
          </cell>
          <cell r="K100">
            <v>1.9930499500000001</v>
          </cell>
          <cell r="L100">
            <v>2.9428865999999998E-2</v>
          </cell>
          <cell r="M100">
            <v>0</v>
          </cell>
          <cell r="N100">
            <v>4.6810071999999994E-2</v>
          </cell>
          <cell r="O100">
            <v>0.14446285349999999</v>
          </cell>
          <cell r="P100">
            <v>2.3618465999999998</v>
          </cell>
          <cell r="Q100">
            <v>0.36743599999999998</v>
          </cell>
          <cell r="R100">
            <v>0.44492340000000002</v>
          </cell>
          <cell r="S100">
            <v>0.5129977</v>
          </cell>
          <cell r="T100">
            <v>2.4740817000000002</v>
          </cell>
          <cell r="U100">
            <v>2.5000270000000002</v>
          </cell>
          <cell r="V100">
            <v>2.4436423</v>
          </cell>
          <cell r="W100">
            <v>1.1422467946293384</v>
          </cell>
          <cell r="X100">
            <v>1.1803216877836502</v>
          </cell>
          <cell r="Y100">
            <v>1.6938301106495413</v>
          </cell>
          <cell r="Z100">
            <v>1.5299110676834564</v>
          </cell>
          <cell r="AA100">
            <v>1.6938301106495413</v>
          </cell>
          <cell r="AB100">
            <v>0.35435686413246381</v>
          </cell>
          <cell r="AC100">
            <v>0.36616875960354706</v>
          </cell>
          <cell r="AD100">
            <v>0.35435686413246381</v>
          </cell>
          <cell r="AE100">
            <v>0.558438310268908</v>
          </cell>
          <cell r="AF100">
            <v>0.558438310268908</v>
          </cell>
          <cell r="AG100">
            <v>0.54042417122797637</v>
          </cell>
          <cell r="AH100">
            <v>0.70305182842236214</v>
          </cell>
          <cell r="AI100">
            <v>0.68037273718293201</v>
          </cell>
          <cell r="AJ100">
            <v>0.70305182842236214</v>
          </cell>
          <cell r="AK100">
            <v>0.4857949843119731</v>
          </cell>
          <cell r="AL100">
            <v>0.43878256647533054</v>
          </cell>
          <cell r="AM100">
            <v>0.4857949843119731</v>
          </cell>
        </row>
        <row r="101">
          <cell r="D101">
            <v>1.9162141000000001E-2</v>
          </cell>
          <cell r="E101">
            <v>5.0749357999999904E-2</v>
          </cell>
          <cell r="F101">
            <v>1.0422296000000001E-2</v>
          </cell>
          <cell r="G101">
            <v>4.81536849999998E-2</v>
          </cell>
          <cell r="H101">
            <v>1.5781216000000001E-2</v>
          </cell>
          <cell r="I101">
            <v>3.8131087000000001E-2</v>
          </cell>
          <cell r="J101">
            <v>4.0021291999999903E-2</v>
          </cell>
          <cell r="K101">
            <v>-1.9485836999999999E-2</v>
          </cell>
          <cell r="L101">
            <v>-4.7773420000000004E-2</v>
          </cell>
          <cell r="M101">
            <v>-8.5518200000000003E-2</v>
          </cell>
          <cell r="N101">
            <v>1.4657057000000001E-2</v>
          </cell>
          <cell r="O101">
            <v>3.8385900000000001E-2</v>
          </cell>
          <cell r="P101">
            <v>6.0045000000000001E-2</v>
          </cell>
          <cell r="Q101">
            <v>4.4228205999999999E-2</v>
          </cell>
          <cell r="R101">
            <v>3.182865E-2</v>
          </cell>
          <cell r="S101">
            <v>4.8075071000000004E-2</v>
          </cell>
          <cell r="T101">
            <v>9.3383079000000008E-2</v>
          </cell>
          <cell r="U101">
            <v>3.1933999999999997E-2</v>
          </cell>
        </row>
        <row r="102">
          <cell r="Q102">
            <v>2.2134</v>
          </cell>
          <cell r="R102">
            <v>2.1420000000000003</v>
          </cell>
          <cell r="S102">
            <v>2.2134</v>
          </cell>
        </row>
        <row r="103">
          <cell r="AB103">
            <v>4.0055400000000008</v>
          </cell>
          <cell r="AC103">
            <v>4.1390580000000003</v>
          </cell>
          <cell r="AD103">
            <v>4.0055400000000008</v>
          </cell>
          <cell r="AE103">
            <v>4.5153359999999996</v>
          </cell>
          <cell r="AF103">
            <v>3.9841199999999999</v>
          </cell>
          <cell r="AG103">
            <v>3.8556000000000004</v>
          </cell>
          <cell r="AH103">
            <v>4.3161299999999994</v>
          </cell>
          <cell r="AI103">
            <v>4.1768999999999989</v>
          </cell>
          <cell r="AJ103">
            <v>4.3161299999999994</v>
          </cell>
          <cell r="AK103">
            <v>4.9801500000000001</v>
          </cell>
          <cell r="AL103">
            <v>4.4981999999999998</v>
          </cell>
          <cell r="AM103">
            <v>4.9801500000000001</v>
          </cell>
        </row>
        <row r="106">
          <cell r="D106">
            <v>2.4942529999999997E-2</v>
          </cell>
          <cell r="E106">
            <v>1.72812704E-2</v>
          </cell>
          <cell r="F106">
            <v>3.9465452000000005E-2</v>
          </cell>
          <cell r="G106">
            <v>4.1725999999999999E-2</v>
          </cell>
          <cell r="H106">
            <v>4.2251499999999997E-2</v>
          </cell>
          <cell r="I106">
            <v>4.4090200000000003E-2</v>
          </cell>
          <cell r="J106">
            <v>4.6142700000000002E-2</v>
          </cell>
        </row>
        <row r="107">
          <cell r="L107">
            <v>1.9865299999999999E-2</v>
          </cell>
          <cell r="M107">
            <v>2.0274E-2</v>
          </cell>
          <cell r="N107">
            <v>1.82235E-2</v>
          </cell>
          <cell r="O107">
            <v>2.0274E-2</v>
          </cell>
          <cell r="P107">
            <v>8.2658000000000002E-3</v>
          </cell>
          <cell r="W107">
            <v>1.8800640000000004E-2</v>
          </cell>
          <cell r="X107">
            <v>1.9427328000000001E-2</v>
          </cell>
          <cell r="Y107">
            <v>1.9427328000000001E-2</v>
          </cell>
          <cell r="Z107">
            <v>1.7547264000000003E-2</v>
          </cell>
          <cell r="AA107">
            <v>1.9427328000000001E-2</v>
          </cell>
        </row>
        <row r="110">
          <cell r="Q110">
            <v>2.2134000000000001E-2</v>
          </cell>
          <cell r="R110">
            <v>2.1420000000000005E-2</v>
          </cell>
          <cell r="S110">
            <v>2.2134000000000001E-2</v>
          </cell>
        </row>
        <row r="111">
          <cell r="AB111">
            <v>4.0055400000000012E-2</v>
          </cell>
          <cell r="AC111">
            <v>4.1390580000000003E-2</v>
          </cell>
          <cell r="AD111">
            <v>4.0055400000000012E-2</v>
          </cell>
          <cell r="AE111">
            <v>4.5153359999999997E-2</v>
          </cell>
          <cell r="AF111">
            <v>3.98412E-2</v>
          </cell>
          <cell r="AG111">
            <v>3.8556000000000007E-2</v>
          </cell>
          <cell r="AH111">
            <v>4.3161299999999993E-2</v>
          </cell>
          <cell r="AI111">
            <v>4.1768999999999994E-2</v>
          </cell>
          <cell r="AJ111">
            <v>4.3161299999999993E-2</v>
          </cell>
          <cell r="AK111">
            <v>4.9801499999999999E-2</v>
          </cell>
          <cell r="AL111">
            <v>4.4982000000000001E-2</v>
          </cell>
          <cell r="AM111">
            <v>4.9801499999999999E-2</v>
          </cell>
        </row>
        <row r="114">
          <cell r="D114">
            <v>6.4602900000000005E-2</v>
          </cell>
          <cell r="H114">
            <v>5.7649300000000001E-2</v>
          </cell>
          <cell r="I114">
            <v>3.8850599999999999E-2</v>
          </cell>
          <cell r="J114">
            <v>3.5961899999999998E-2</v>
          </cell>
        </row>
        <row r="115">
          <cell r="P115">
            <v>-0.56420689999999996</v>
          </cell>
        </row>
        <row r="121">
          <cell r="D121">
            <v>1.9771900000000002E-2</v>
          </cell>
        </row>
        <row r="123">
          <cell r="L123">
            <v>2.3127999999999999E-2</v>
          </cell>
          <cell r="M123">
            <v>5.4279999999999997E-3</v>
          </cell>
          <cell r="N123">
            <v>3.8939999999999999E-3</v>
          </cell>
          <cell r="O123">
            <v>4.248E-3</v>
          </cell>
          <cell r="P123">
            <v>3.5400000000000002E-3</v>
          </cell>
        </row>
        <row r="124">
          <cell r="E124">
            <v>5.9000000000000003E-4</v>
          </cell>
          <cell r="F124">
            <v>5.9000000000000003E-4</v>
          </cell>
          <cell r="G124">
            <v>5.9000000000000003E-4</v>
          </cell>
          <cell r="H124">
            <v>5.9000000000000003E-4</v>
          </cell>
          <cell r="I124">
            <v>5.9000000000000003E-4</v>
          </cell>
          <cell r="J124">
            <v>5.9000000000000003E-4</v>
          </cell>
          <cell r="K124">
            <v>5.9000000000000003E-4</v>
          </cell>
          <cell r="L124">
            <v>5.9000000000000003E-4</v>
          </cell>
          <cell r="M124">
            <v>5.9000000000000003E-4</v>
          </cell>
          <cell r="N124">
            <v>5.9000000000000003E-4</v>
          </cell>
          <cell r="O124">
            <v>5.9000000000000003E-4</v>
          </cell>
          <cell r="P124">
            <v>1.1800000000000001E-3</v>
          </cell>
          <cell r="Q124">
            <v>5.9000000000000003E-4</v>
          </cell>
          <cell r="R124">
            <v>5.9000000000000003E-4</v>
          </cell>
          <cell r="S124">
            <v>5.9000000000000003E-4</v>
          </cell>
          <cell r="T124">
            <v>4.3660000000000001E-3</v>
          </cell>
          <cell r="U124">
            <v>8.2600000000000002E-4</v>
          </cell>
        </row>
        <row r="125">
          <cell r="E125">
            <v>1.227E-4</v>
          </cell>
          <cell r="F125">
            <v>6.2660000000000005E-4</v>
          </cell>
          <cell r="G125">
            <v>4.0489999999999998E-4</v>
          </cell>
          <cell r="H125">
            <v>1.604E-4</v>
          </cell>
          <cell r="I125">
            <v>-1.983E-4</v>
          </cell>
          <cell r="J125">
            <v>-1.0062000000000001E-3</v>
          </cell>
          <cell r="K125">
            <v>-3.2912000000000002E-3</v>
          </cell>
          <cell r="L125">
            <v>-3.1511E-3</v>
          </cell>
          <cell r="M125">
            <v>-3.0603000000000002E-3</v>
          </cell>
          <cell r="N125">
            <v>-3.0731999999999999E-3</v>
          </cell>
          <cell r="O125">
            <v>-3.6868000000000001E-3</v>
          </cell>
          <cell r="P125">
            <v>-1.054E-3</v>
          </cell>
          <cell r="Q125">
            <v>-1.5589999999999999E-4</v>
          </cell>
          <cell r="R125">
            <v>5.0029999999999996E-4</v>
          </cell>
          <cell r="S125">
            <v>7.0099999999999996E-5</v>
          </cell>
          <cell r="T125">
            <v>-2.587E-4</v>
          </cell>
          <cell r="U125">
            <v>1.7900000000000001E-5</v>
          </cell>
        </row>
        <row r="126">
          <cell r="Q126">
            <v>3.5999999999999999E-3</v>
          </cell>
          <cell r="R126">
            <v>7.0800000000000004E-3</v>
          </cell>
          <cell r="S126">
            <v>9.7940000000000006E-3</v>
          </cell>
        </row>
        <row r="145">
          <cell r="D145">
            <v>4.8640200000000001E-2</v>
          </cell>
          <cell r="E145">
            <v>6.9137500000000005E-2</v>
          </cell>
          <cell r="F145">
            <v>7.6937599999999995E-2</v>
          </cell>
          <cell r="G145">
            <v>8.2682000000000005E-2</v>
          </cell>
          <cell r="H145">
            <v>8.3256899999999995E-2</v>
          </cell>
          <cell r="I145">
            <v>8.7243600000000004E-2</v>
          </cell>
          <cell r="J145">
            <v>8.8808300000000007E-2</v>
          </cell>
          <cell r="K145">
            <v>8.0831299999999995E-2</v>
          </cell>
          <cell r="L145">
            <v>8.2069600000000006E-2</v>
          </cell>
          <cell r="M145">
            <v>8.3758299999999994E-2</v>
          </cell>
          <cell r="N145">
            <v>7.5466599999999995E-2</v>
          </cell>
          <cell r="O145">
            <v>8.3775500000000003E-2</v>
          </cell>
        </row>
      </sheetData>
      <sheetData sheetId="1">
        <row r="9">
          <cell r="D9">
            <v>3204.1666666666665</v>
          </cell>
          <cell r="E9">
            <v>35</v>
          </cell>
          <cell r="F9">
            <v>35</v>
          </cell>
        </row>
        <row r="10">
          <cell r="D10">
            <v>3358.3333333333335</v>
          </cell>
          <cell r="E10">
            <v>8911.25</v>
          </cell>
          <cell r="F10">
            <v>14379.5</v>
          </cell>
        </row>
        <row r="12">
          <cell r="F12">
            <v>0.26060999999999995</v>
          </cell>
        </row>
        <row r="13">
          <cell r="F13">
            <v>100.7306112</v>
          </cell>
        </row>
        <row r="18">
          <cell r="D18">
            <v>0.97900692103202802</v>
          </cell>
          <cell r="E18">
            <v>0.98979807923661212</v>
          </cell>
        </row>
        <row r="19">
          <cell r="D19">
            <v>0.96173954174199106</v>
          </cell>
          <cell r="E19">
            <v>0.98746290301085682</v>
          </cell>
        </row>
        <row r="24">
          <cell r="D24">
            <v>2.9144606887575359</v>
          </cell>
          <cell r="E24">
            <v>1.4473600000000001E-2</v>
          </cell>
        </row>
        <row r="25">
          <cell r="D25">
            <v>1.008855120479452</v>
          </cell>
          <cell r="E25">
            <v>3.3852479000000004</v>
          </cell>
        </row>
        <row r="30">
          <cell r="D30">
            <v>-1.861685607047276</v>
          </cell>
          <cell r="E30">
            <v>-2.2473072345162538E-2</v>
          </cell>
        </row>
        <row r="31">
          <cell r="D31">
            <v>-1.3443168835753421</v>
          </cell>
          <cell r="E31">
            <v>-4.6139586349415298</v>
          </cell>
        </row>
        <row r="33">
          <cell r="D33">
            <v>0</v>
          </cell>
          <cell r="E33">
            <v>0</v>
          </cell>
        </row>
        <row r="34">
          <cell r="D34">
            <v>0.16756897000000001</v>
          </cell>
          <cell r="E34">
            <v>-0.46880576494310078</v>
          </cell>
        </row>
        <row r="36">
          <cell r="D36">
            <v>0</v>
          </cell>
        </row>
        <row r="37">
          <cell r="D37">
            <v>-0.17375650000000001</v>
          </cell>
        </row>
        <row r="51">
          <cell r="D51">
            <v>19.285090058619165</v>
          </cell>
        </row>
        <row r="52">
          <cell r="D52">
            <v>13.211447009577359</v>
          </cell>
        </row>
        <row r="76">
          <cell r="F76">
            <v>1.1935562271882569</v>
          </cell>
        </row>
        <row r="79">
          <cell r="F79">
            <v>12.75</v>
          </cell>
        </row>
        <row r="82">
          <cell r="D82">
            <v>20.821720000000003</v>
          </cell>
        </row>
        <row r="83">
          <cell r="D83">
            <v>14.428750000000001</v>
          </cell>
          <cell r="E83">
            <v>19.999047999999998</v>
          </cell>
        </row>
        <row r="84">
          <cell r="E84">
            <v>32.323787953730054</v>
          </cell>
        </row>
        <row r="85">
          <cell r="D85">
            <v>-0.13626141290276839</v>
          </cell>
          <cell r="E85">
            <v>0.43379123467258074</v>
          </cell>
        </row>
        <row r="86">
          <cell r="E86">
            <v>11.040000000000001</v>
          </cell>
        </row>
        <row r="98">
          <cell r="D98">
            <v>13.65904832</v>
          </cell>
        </row>
        <row r="99">
          <cell r="D99">
            <v>7.8636687500000004</v>
          </cell>
          <cell r="E99">
            <v>10.28956196</v>
          </cell>
        </row>
        <row r="100">
          <cell r="E100">
            <v>18.345094471395527</v>
          </cell>
        </row>
        <row r="101">
          <cell r="D101">
            <v>0.12268657499999959</v>
          </cell>
          <cell r="E101">
            <v>0.30949400600000004</v>
          </cell>
        </row>
        <row r="102">
          <cell r="E102">
            <v>6.5688000000000004</v>
          </cell>
        </row>
        <row r="106">
          <cell r="D106">
            <v>0.25589965240000001</v>
          </cell>
        </row>
        <row r="107">
          <cell r="D107">
            <v>7.8636800000000007E-2</v>
          </cell>
          <cell r="E107">
            <v>0.10289568800000001</v>
          </cell>
        </row>
        <row r="110">
          <cell r="E110">
            <v>6.568800000000001E-2</v>
          </cell>
        </row>
        <row r="114">
          <cell r="D114">
            <v>0.19706469999999998</v>
          </cell>
        </row>
        <row r="115">
          <cell r="D115">
            <v>0</v>
          </cell>
          <cell r="E115">
            <v>-0.56420689999999996</v>
          </cell>
        </row>
        <row r="118">
          <cell r="E118">
            <v>0</v>
          </cell>
        </row>
        <row r="122">
          <cell r="D122">
            <v>1.8290000000000001E-2</v>
          </cell>
        </row>
        <row r="123">
          <cell r="D123">
            <v>3.6698000000000001E-2</v>
          </cell>
          <cell r="E123">
            <v>3.5400000000000002E-3</v>
          </cell>
        </row>
        <row r="124">
          <cell r="E124">
            <v>8.9680000000000003E-3</v>
          </cell>
        </row>
        <row r="125">
          <cell r="D125">
            <v>-1.64406E-2</v>
          </cell>
          <cell r="E125">
            <v>-8.8030000000000009E-4</v>
          </cell>
        </row>
        <row r="126">
          <cell r="E126">
            <v>2.0473999999999999E-2</v>
          </cell>
        </row>
        <row r="145">
          <cell r="D145">
            <v>0.94260739999999998</v>
          </cell>
        </row>
      </sheetData>
      <sheetData sheetId="2">
        <row r="16">
          <cell r="F16">
            <v>2.7</v>
          </cell>
        </row>
        <row r="19">
          <cell r="D19">
            <v>89.171416813000008</v>
          </cell>
        </row>
        <row r="38">
          <cell r="D38">
            <v>0.43189642699999997</v>
          </cell>
          <cell r="H38">
            <v>5.28E-2</v>
          </cell>
          <cell r="I38">
            <v>4.2200000000000001E-2</v>
          </cell>
          <cell r="J38">
            <v>1.9335891999999993E-2</v>
          </cell>
        </row>
        <row r="39">
          <cell r="D39">
            <v>1.6316884345454543</v>
          </cell>
          <cell r="H39">
            <v>5.28E-2</v>
          </cell>
          <cell r="I39">
            <v>4.2200000000000001E-2</v>
          </cell>
          <cell r="J39">
            <v>7.5580629545454553E-2</v>
          </cell>
        </row>
        <row r="40">
          <cell r="D40">
            <v>8.3992953000000009E-2</v>
          </cell>
          <cell r="H40">
            <v>0.09</v>
          </cell>
          <cell r="I40">
            <v>0.09</v>
          </cell>
          <cell r="J40">
            <v>3.7215170000000014E-3</v>
          </cell>
        </row>
        <row r="41">
          <cell r="D41">
            <v>5.221419622</v>
          </cell>
          <cell r="H41">
            <v>3.3399999999999999E-2</v>
          </cell>
          <cell r="I41">
            <v>3.3399999999999999E-2</v>
          </cell>
          <cell r="J41">
            <v>0.129340909</v>
          </cell>
        </row>
        <row r="42">
          <cell r="D42">
            <v>2.7492412160000002</v>
          </cell>
          <cell r="H42">
            <v>6.3299999999999995E-2</v>
          </cell>
          <cell r="I42">
            <v>6.3299999999999995E-2</v>
          </cell>
          <cell r="J42">
            <v>0.15376123600000002</v>
          </cell>
        </row>
        <row r="43">
          <cell r="D43">
            <v>0.30950215900000005</v>
          </cell>
          <cell r="H43">
            <v>6.3299999999999995E-2</v>
          </cell>
          <cell r="I43">
            <v>6.3299999999999995E-2</v>
          </cell>
          <cell r="J43">
            <v>1.7487413E-2</v>
          </cell>
        </row>
        <row r="44">
          <cell r="D44">
            <v>2.3262088000000004E-2</v>
          </cell>
          <cell r="H44">
            <v>0.15</v>
          </cell>
          <cell r="I44">
            <v>0.15</v>
          </cell>
          <cell r="J44">
            <v>3.1145699999999997E-3</v>
          </cell>
        </row>
        <row r="45">
          <cell r="D45">
            <v>0.31489073300000003</v>
          </cell>
          <cell r="H45">
            <v>5.28E-2</v>
          </cell>
          <cell r="I45">
            <v>4.2200000000000001E-2</v>
          </cell>
          <cell r="J45">
            <v>1.4840617999999996E-2</v>
          </cell>
        </row>
        <row r="46">
          <cell r="D46">
            <v>0.31122897400000005</v>
          </cell>
          <cell r="H46">
            <v>0.09</v>
          </cell>
          <cell r="I46">
            <v>0.09</v>
          </cell>
          <cell r="J46">
            <v>1.4611816183333334E-2</v>
          </cell>
        </row>
        <row r="47">
          <cell r="D47">
            <v>37.639763271999996</v>
          </cell>
          <cell r="H47">
            <v>5.28E-2</v>
          </cell>
          <cell r="I47">
            <v>4.2200000000000001E-2</v>
          </cell>
          <cell r="J47">
            <v>1.773940388</v>
          </cell>
        </row>
        <row r="48">
          <cell r="D48">
            <v>9.1581650779090893</v>
          </cell>
          <cell r="H48">
            <v>5.28E-2</v>
          </cell>
          <cell r="I48">
            <v>4.2200000000000001E-2</v>
          </cell>
          <cell r="J48">
            <v>0.42645797870692609</v>
          </cell>
        </row>
        <row r="49">
          <cell r="D49">
            <v>13.588930811393938</v>
          </cell>
          <cell r="H49">
            <v>5.28E-2</v>
          </cell>
          <cell r="I49">
            <v>4.2200000000000001E-2</v>
          </cell>
          <cell r="J49">
            <v>0.62152470329545462</v>
          </cell>
        </row>
        <row r="50">
          <cell r="D50">
            <v>1.3814585400000001</v>
          </cell>
          <cell r="H50">
            <v>5.28E-2</v>
          </cell>
          <cell r="I50">
            <v>4.2200000000000001E-2</v>
          </cell>
          <cell r="J50">
            <v>7.1007352999999995E-2</v>
          </cell>
        </row>
        <row r="51">
          <cell r="D51">
            <v>72.845440307848477</v>
          </cell>
        </row>
        <row r="53">
          <cell r="D53">
            <v>35.919103</v>
          </cell>
          <cell r="H53">
            <v>5.28E-2</v>
          </cell>
          <cell r="J53">
            <v>1.692846659</v>
          </cell>
          <cell r="K53">
            <v>1.8965286384</v>
          </cell>
          <cell r="L53">
            <v>1.8965286384</v>
          </cell>
        </row>
      </sheetData>
      <sheetData sheetId="3"/>
      <sheetData sheetId="4">
        <row r="57">
          <cell r="E57">
            <v>16.325976505151516</v>
          </cell>
        </row>
        <row r="106">
          <cell r="E106">
            <v>6.4684535999999992</v>
          </cell>
        </row>
      </sheetData>
      <sheetData sheetId="5">
        <row r="28">
          <cell r="F28">
            <v>0.99</v>
          </cell>
        </row>
      </sheetData>
      <sheetData sheetId="6"/>
      <sheetData sheetId="7"/>
      <sheetData sheetId="8">
        <row r="16">
          <cell r="F16">
            <v>1</v>
          </cell>
          <cell r="G16">
            <v>30</v>
          </cell>
          <cell r="H16">
            <v>20.441292298297707</v>
          </cell>
        </row>
        <row r="17">
          <cell r="F17">
            <v>4</v>
          </cell>
          <cell r="G17">
            <v>8060</v>
          </cell>
          <cell r="H17">
            <v>17.098748077840021</v>
          </cell>
        </row>
        <row r="25">
          <cell r="F25">
            <v>0.17757678993670317</v>
          </cell>
        </row>
        <row r="26">
          <cell r="F26">
            <v>7.4999999999999997E-3</v>
          </cell>
        </row>
        <row r="27">
          <cell r="F27">
            <v>5.4677999999999997E-2</v>
          </cell>
        </row>
        <row r="35">
          <cell r="H35">
            <v>37.540040376137725</v>
          </cell>
        </row>
        <row r="38">
          <cell r="H38">
            <v>38.255656240000036</v>
          </cell>
        </row>
        <row r="39">
          <cell r="H39">
            <v>3.1800000000000057E-2</v>
          </cell>
        </row>
        <row r="47">
          <cell r="I47">
            <v>4.457829946682299</v>
          </cell>
          <cell r="J47">
            <v>-5.98961665E-2</v>
          </cell>
        </row>
        <row r="49">
          <cell r="I49">
            <v>2.4651095365</v>
          </cell>
          <cell r="J49">
            <v>-5.3051557999999999E-2</v>
          </cell>
        </row>
        <row r="51">
          <cell r="I51">
            <v>8.2600000000000017E-3</v>
          </cell>
        </row>
        <row r="129">
          <cell r="F129">
            <v>0.3480896</v>
          </cell>
        </row>
        <row r="130">
          <cell r="F130">
            <v>0.10195985199999999</v>
          </cell>
        </row>
        <row r="131">
          <cell r="F131">
            <v>3.5598916000000001E-2</v>
          </cell>
        </row>
        <row r="133">
          <cell r="F133">
            <v>2.2740585000000002</v>
          </cell>
        </row>
        <row r="136">
          <cell r="F136">
            <v>6.0490000000000001E-4</v>
          </cell>
        </row>
        <row r="137">
          <cell r="F137">
            <v>1.3407669999999999E-3</v>
          </cell>
        </row>
        <row r="138">
          <cell r="F138">
            <v>0.10334297299999999</v>
          </cell>
        </row>
        <row r="139">
          <cell r="F139">
            <v>8.3940000000000001E-2</v>
          </cell>
        </row>
        <row r="141">
          <cell r="F141">
            <v>1.8643890999999999E-2</v>
          </cell>
        </row>
        <row r="143">
          <cell r="F143">
            <v>0.19287463731506843</v>
          </cell>
        </row>
        <row r="144">
          <cell r="F144">
            <v>4.4249999999999998E-2</v>
          </cell>
        </row>
        <row r="157">
          <cell r="G157">
            <v>2.5059999999999998E-6</v>
          </cell>
        </row>
      </sheetData>
      <sheetData sheetId="9">
        <row r="11">
          <cell r="E11">
            <v>1</v>
          </cell>
          <cell r="F11">
            <v>35</v>
          </cell>
          <cell r="G11">
            <v>0.25949106808950156</v>
          </cell>
        </row>
        <row r="12">
          <cell r="E12">
            <v>4</v>
          </cell>
          <cell r="F12">
            <v>10659</v>
          </cell>
          <cell r="G12">
            <v>60.897968118295069</v>
          </cell>
        </row>
        <row r="16">
          <cell r="I16">
            <v>61.157459186384557</v>
          </cell>
        </row>
        <row r="19">
          <cell r="I19">
            <v>61.767894443811429</v>
          </cell>
        </row>
        <row r="20">
          <cell r="I20">
            <v>3.1800000000000092E-2</v>
          </cell>
        </row>
        <row r="68">
          <cell r="F68">
            <v>0.496</v>
          </cell>
        </row>
        <row r="69">
          <cell r="H69">
            <v>0.2255316277277421</v>
          </cell>
        </row>
        <row r="160">
          <cell r="E160">
            <v>3.4000000000000002E-3</v>
          </cell>
        </row>
        <row r="179">
          <cell r="E179">
            <v>41.674542561596013</v>
          </cell>
        </row>
      </sheetData>
      <sheetData sheetId="10">
        <row r="5">
          <cell r="D5">
            <v>1</v>
          </cell>
          <cell r="E5">
            <v>35</v>
          </cell>
        </row>
        <row r="6">
          <cell r="D6">
            <v>4</v>
          </cell>
          <cell r="E6">
            <v>16556</v>
          </cell>
        </row>
        <row r="11">
          <cell r="F11">
            <v>100.99122120000001</v>
          </cell>
        </row>
        <row r="14">
          <cell r="F14">
            <v>101.99925199348334</v>
          </cell>
        </row>
        <row r="15">
          <cell r="F15">
            <v>3.1800000000000044E-2</v>
          </cell>
        </row>
        <row r="34">
          <cell r="E34">
            <v>28.0092</v>
          </cell>
          <cell r="F34">
            <v>66.871200000000002</v>
          </cell>
          <cell r="G34">
            <v>10.468961695396974</v>
          </cell>
        </row>
        <row r="36">
          <cell r="E36">
            <v>16.665474</v>
          </cell>
          <cell r="F36">
            <v>35.107379999999999</v>
          </cell>
          <cell r="G36">
            <v>6.2290322087611996</v>
          </cell>
        </row>
        <row r="37">
          <cell r="E37">
            <v>-0.24505194000000002</v>
          </cell>
          <cell r="F37">
            <v>-0.27267659999999994</v>
          </cell>
        </row>
        <row r="44">
          <cell r="E44">
            <v>0.79</v>
          </cell>
        </row>
        <row r="139">
          <cell r="D139">
            <v>3.4000000000000002E-3</v>
          </cell>
        </row>
      </sheetData>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tilisation"/>
      <sheetName val="BS"/>
      <sheetName val="PL"/>
      <sheetName val="SOCE"/>
      <sheetName val="CFS"/>
      <sheetName val="CF-FY25"/>
      <sheetName val="CF-FY24"/>
      <sheetName val="PPE"/>
      <sheetName val="Lease"/>
      <sheetName val="Notes BS"/>
      <sheetName val="Notes P&amp;L"/>
      <sheetName val="Income Tax"/>
      <sheetName val="IND AS 115"/>
      <sheetName val="FI-FV"/>
      <sheetName val="Credit and Liquidity risk"/>
      <sheetName val="Interest risk"/>
      <sheetName val="Employee Benefit"/>
      <sheetName val="Bal Note 1"/>
      <sheetName val="Bal Note 2"/>
      <sheetName val="Bal Note 3 "/>
      <sheetName val="Bal Note 4"/>
      <sheetName val="Ratio"/>
      <sheetName val="workings"/>
      <sheetName val="Schedule NIDP"/>
      <sheetName val="TB-M25"/>
      <sheetName val="JV-M25"/>
      <sheetName val="PGBP NIDP"/>
      <sheetName val="Deferred Tax"/>
      <sheetName val="Dep NIDP"/>
      <sheetName val="NIDP ETR"/>
      <sheetName val="TB-M24"/>
      <sheetName val="JV-M24"/>
    </sheetNames>
    <sheetDataSet>
      <sheetData sheetId="0"/>
      <sheetData sheetId="1">
        <row r="16">
          <cell r="F16">
            <v>471.59193079999994</v>
          </cell>
        </row>
      </sheetData>
      <sheetData sheetId="2"/>
      <sheetData sheetId="3"/>
      <sheetData sheetId="4"/>
      <sheetData sheetId="5"/>
      <sheetData sheetId="6"/>
      <sheetData sheetId="7">
        <row r="11">
          <cell r="C11">
            <v>12112.252176100001</v>
          </cell>
        </row>
      </sheetData>
      <sheetData sheetId="8"/>
      <sheetData sheetId="9"/>
      <sheetData sheetId="10">
        <row r="25">
          <cell r="C25">
            <v>2116.2181842999998</v>
          </cell>
        </row>
        <row r="51">
          <cell r="C51">
            <v>19.44134</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row r="391">
          <cell r="F391">
            <v>525.19901000000004</v>
          </cell>
        </row>
      </sheetData>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externalLinkPath" Target="file:///E:\1.UPERC\UPERC-Season%205\1.%20FY%202019-20\1-State%20Discom%20Models\1.Discom%20Models-FY%202019-20%20(05.08.19)\Final%20PPC%20Model%20-03.08.2019.xlsx"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s://labourbureau.gov.in/all-india-general-index-1" TargetMode="External"/><Relationship Id="rId1" Type="http://schemas.openxmlformats.org/officeDocument/2006/relationships/hyperlink" Target="http://labourbureau.gov.in/LBO_indexes.htm"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eaindustry.nic.in/download_data_1112.asp"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B58C0-9E59-4BDC-B5C9-098FC99C6EA8}">
  <dimension ref="A1:AC123"/>
  <sheetViews>
    <sheetView showGridLines="0" topLeftCell="B1" workbookViewId="0">
      <pane xSplit="3" ySplit="3" topLeftCell="E77" activePane="bottomRight" state="frozen"/>
      <selection activeCell="T96" sqref="T96"/>
      <selection pane="topRight" activeCell="T96" sqref="T96"/>
      <selection pane="bottomLeft" activeCell="T96" sqref="T96"/>
      <selection pane="bottomRight" activeCell="T96" sqref="T96"/>
    </sheetView>
  </sheetViews>
  <sheetFormatPr defaultColWidth="8.86328125" defaultRowHeight="13.15"/>
  <cols>
    <col min="1" max="1" width="10.33203125" style="504" bestFit="1" customWidth="1"/>
    <col min="2" max="2" width="5.53125" style="504" bestFit="1" customWidth="1"/>
    <col min="3" max="3" width="25.33203125" style="504" customWidth="1"/>
    <col min="4" max="4" width="8.86328125" style="504"/>
    <col min="5" max="5" width="11.46484375" style="504" bestFit="1" customWidth="1"/>
    <col min="6" max="12" width="9.86328125" style="504" bestFit="1" customWidth="1"/>
    <col min="13" max="13" width="10.46484375" style="504" bestFit="1" customWidth="1"/>
    <col min="14" max="17" width="9.86328125" style="504" bestFit="1" customWidth="1"/>
    <col min="18" max="18" width="11.33203125" style="504" bestFit="1" customWidth="1"/>
    <col min="19" max="16384" width="8.86328125" style="504"/>
  </cols>
  <sheetData>
    <row r="1" spans="1:18">
      <c r="A1" s="726">
        <v>1000000</v>
      </c>
      <c r="B1" s="1472" t="s">
        <v>2032</v>
      </c>
      <c r="C1" s="1472"/>
      <c r="D1" s="1472"/>
      <c r="E1" s="1472"/>
      <c r="F1" s="1472"/>
      <c r="G1" s="1472"/>
      <c r="H1" s="1472"/>
      <c r="I1" s="1472"/>
      <c r="J1" s="1472"/>
      <c r="K1" s="1472"/>
      <c r="L1" s="1472"/>
      <c r="M1" s="1472"/>
      <c r="N1" s="1472"/>
      <c r="O1" s="1472"/>
      <c r="P1" s="1472"/>
      <c r="Q1" s="1472"/>
      <c r="R1" s="1472"/>
    </row>
    <row r="2" spans="1:18" s="739" customFormat="1">
      <c r="B2" s="1473" t="s">
        <v>74</v>
      </c>
      <c r="C2" s="1473" t="s">
        <v>10</v>
      </c>
      <c r="D2" s="1473" t="s">
        <v>355</v>
      </c>
      <c r="E2" s="1473" t="s">
        <v>2033</v>
      </c>
      <c r="F2" s="1474" t="s">
        <v>343</v>
      </c>
      <c r="G2" s="1474"/>
      <c r="H2" s="1474"/>
      <c r="I2" s="1474"/>
      <c r="J2" s="1474"/>
      <c r="K2" s="1474"/>
      <c r="L2" s="1474"/>
      <c r="M2" s="1474"/>
      <c r="N2" s="1474"/>
      <c r="O2" s="1474"/>
      <c r="P2" s="1474"/>
      <c r="Q2" s="1474"/>
      <c r="R2" s="1474"/>
    </row>
    <row r="3" spans="1:18" s="739" customFormat="1">
      <c r="B3" s="1473"/>
      <c r="C3" s="1473"/>
      <c r="D3" s="1473"/>
      <c r="E3" s="1473"/>
      <c r="F3" s="727" t="s">
        <v>166</v>
      </c>
      <c r="G3" s="727" t="s">
        <v>167</v>
      </c>
      <c r="H3" s="727" t="s">
        <v>168</v>
      </c>
      <c r="I3" s="727" t="s">
        <v>169</v>
      </c>
      <c r="J3" s="727" t="s">
        <v>170</v>
      </c>
      <c r="K3" s="727" t="s">
        <v>171</v>
      </c>
      <c r="L3" s="727" t="s">
        <v>176</v>
      </c>
      <c r="M3" s="727" t="s">
        <v>172</v>
      </c>
      <c r="N3" s="727" t="s">
        <v>173</v>
      </c>
      <c r="O3" s="727" t="s">
        <v>175</v>
      </c>
      <c r="P3" s="727" t="s">
        <v>174</v>
      </c>
      <c r="Q3" s="727" t="s">
        <v>177</v>
      </c>
      <c r="R3" s="727" t="s">
        <v>143</v>
      </c>
    </row>
    <row r="4" spans="1:18">
      <c r="B4" s="728"/>
      <c r="C4" s="728"/>
      <c r="D4" s="728"/>
      <c r="E4" s="728"/>
      <c r="F4" s="1471" t="s">
        <v>2034</v>
      </c>
      <c r="G4" s="1471"/>
      <c r="H4" s="1471"/>
      <c r="I4" s="1471"/>
      <c r="J4" s="1471"/>
      <c r="K4" s="1471"/>
      <c r="L4" s="1471"/>
      <c r="M4" s="1471"/>
      <c r="N4" s="1471"/>
      <c r="O4" s="1471"/>
      <c r="P4" s="1471"/>
      <c r="Q4" s="1471"/>
      <c r="R4" s="1471"/>
    </row>
    <row r="5" spans="1:18" ht="26.25">
      <c r="B5" s="728">
        <v>1</v>
      </c>
      <c r="C5" s="729" t="s">
        <v>2035</v>
      </c>
      <c r="D5" s="729" t="s">
        <v>2036</v>
      </c>
      <c r="E5" s="728" t="s">
        <v>2037</v>
      </c>
      <c r="F5" s="728">
        <v>5</v>
      </c>
      <c r="G5" s="728">
        <v>5</v>
      </c>
      <c r="H5" s="728">
        <v>5</v>
      </c>
      <c r="I5" s="728">
        <v>5</v>
      </c>
      <c r="J5" s="728">
        <v>5</v>
      </c>
      <c r="K5" s="728">
        <v>5</v>
      </c>
      <c r="L5" s="728">
        <v>5</v>
      </c>
      <c r="M5" s="728">
        <v>1</v>
      </c>
      <c r="N5" s="728">
        <v>1</v>
      </c>
      <c r="O5" s="728">
        <v>1</v>
      </c>
      <c r="P5" s="728">
        <v>1</v>
      </c>
      <c r="Q5" s="728">
        <v>1</v>
      </c>
      <c r="R5" s="730">
        <f>+Q5</f>
        <v>1</v>
      </c>
    </row>
    <row r="6" spans="1:18">
      <c r="B6" s="728">
        <f>+B5+1</f>
        <v>2</v>
      </c>
      <c r="C6" s="728" t="s">
        <v>2038</v>
      </c>
      <c r="D6" s="729" t="s">
        <v>2036</v>
      </c>
      <c r="E6" s="728" t="s">
        <v>2037</v>
      </c>
      <c r="F6" s="728"/>
      <c r="G6" s="728"/>
      <c r="H6" s="728"/>
      <c r="I6" s="728"/>
      <c r="J6" s="728"/>
      <c r="K6" s="728"/>
      <c r="L6" s="728"/>
      <c r="M6" s="728">
        <v>4</v>
      </c>
      <c r="N6" s="728">
        <v>4</v>
      </c>
      <c r="O6" s="728">
        <v>4</v>
      </c>
      <c r="P6" s="728">
        <v>4</v>
      </c>
      <c r="Q6" s="728">
        <v>4</v>
      </c>
      <c r="R6" s="730">
        <f>+Q6</f>
        <v>4</v>
      </c>
    </row>
    <row r="7" spans="1:18">
      <c r="B7" s="728">
        <v>3</v>
      </c>
      <c r="C7" s="729" t="s">
        <v>2039</v>
      </c>
      <c r="D7" s="729" t="s">
        <v>2036</v>
      </c>
      <c r="E7" s="728" t="s">
        <v>2040</v>
      </c>
      <c r="F7" s="728"/>
      <c r="G7" s="728"/>
      <c r="H7" s="728"/>
      <c r="I7" s="728"/>
      <c r="J7" s="728"/>
      <c r="K7" s="728"/>
      <c r="L7" s="728"/>
      <c r="M7" s="728"/>
      <c r="N7" s="728"/>
      <c r="O7" s="728"/>
      <c r="P7" s="728"/>
      <c r="Q7" s="728"/>
      <c r="R7" s="730">
        <f t="shared" ref="R7" si="0">SUM(F7:Q7)</f>
        <v>0</v>
      </c>
    </row>
    <row r="8" spans="1:18">
      <c r="B8" s="728"/>
      <c r="C8" s="728"/>
      <c r="D8" s="728"/>
      <c r="E8" s="728"/>
      <c r="F8" s="728"/>
      <c r="G8" s="728"/>
      <c r="H8" s="728"/>
      <c r="I8" s="728"/>
      <c r="J8" s="728"/>
      <c r="K8" s="728"/>
      <c r="L8" s="728"/>
      <c r="M8" s="728"/>
      <c r="N8" s="728"/>
      <c r="O8" s="728"/>
      <c r="P8" s="728"/>
      <c r="Q8" s="728"/>
      <c r="R8" s="728"/>
    </row>
    <row r="9" spans="1:18">
      <c r="B9" s="732"/>
      <c r="C9" s="731" t="s">
        <v>18</v>
      </c>
      <c r="D9" s="732"/>
      <c r="E9" s="732"/>
      <c r="F9" s="733">
        <f t="shared" ref="F9:M9" si="1">SUM(F5:F7)</f>
        <v>5</v>
      </c>
      <c r="G9" s="733">
        <f t="shared" si="1"/>
        <v>5</v>
      </c>
      <c r="H9" s="733">
        <f t="shared" si="1"/>
        <v>5</v>
      </c>
      <c r="I9" s="733">
        <f t="shared" si="1"/>
        <v>5</v>
      </c>
      <c r="J9" s="733">
        <f t="shared" si="1"/>
        <v>5</v>
      </c>
      <c r="K9" s="733">
        <f t="shared" si="1"/>
        <v>5</v>
      </c>
      <c r="L9" s="733">
        <f t="shared" si="1"/>
        <v>5</v>
      </c>
      <c r="M9" s="733">
        <f t="shared" si="1"/>
        <v>5</v>
      </c>
      <c r="N9" s="733">
        <v>5</v>
      </c>
      <c r="O9" s="733">
        <v>5</v>
      </c>
      <c r="P9" s="733">
        <f>SUM(P5:P7)</f>
        <v>5</v>
      </c>
      <c r="Q9" s="733">
        <f>SUM(Q5:Q7)</f>
        <v>5</v>
      </c>
      <c r="R9" s="733">
        <f>SUM(R5:R7)</f>
        <v>5</v>
      </c>
    </row>
    <row r="10" spans="1:18">
      <c r="B10" s="728"/>
      <c r="C10" s="728"/>
      <c r="D10" s="728"/>
      <c r="E10" s="728"/>
      <c r="F10" s="1471" t="s">
        <v>2041</v>
      </c>
      <c r="G10" s="1471"/>
      <c r="H10" s="1471"/>
      <c r="I10" s="1471"/>
      <c r="J10" s="1471"/>
      <c r="K10" s="1471"/>
      <c r="L10" s="1471"/>
      <c r="M10" s="1471"/>
      <c r="N10" s="1471"/>
      <c r="O10" s="1471"/>
      <c r="P10" s="1471"/>
      <c r="Q10" s="1471"/>
      <c r="R10" s="1471"/>
    </row>
    <row r="11" spans="1:18" ht="26.25">
      <c r="B11" s="728">
        <v>1</v>
      </c>
      <c r="C11" s="729" t="s">
        <v>2035</v>
      </c>
      <c r="D11" s="729" t="s">
        <v>2036</v>
      </c>
      <c r="E11" s="728" t="s">
        <v>2037</v>
      </c>
      <c r="F11" s="728">
        <v>10000</v>
      </c>
      <c r="G11" s="728">
        <v>10000</v>
      </c>
      <c r="H11" s="728">
        <v>10000</v>
      </c>
      <c r="I11" s="728">
        <v>10000</v>
      </c>
      <c r="J11" s="728">
        <v>10000</v>
      </c>
      <c r="K11" s="728">
        <v>10000</v>
      </c>
      <c r="L11" s="728">
        <v>10000</v>
      </c>
      <c r="M11" s="728">
        <v>40</v>
      </c>
      <c r="N11" s="728">
        <v>40</v>
      </c>
      <c r="O11" s="728">
        <v>40</v>
      </c>
      <c r="P11" s="728">
        <v>40</v>
      </c>
      <c r="Q11" s="728">
        <v>40</v>
      </c>
      <c r="R11" s="730">
        <f>+Q11</f>
        <v>40</v>
      </c>
    </row>
    <row r="12" spans="1:18">
      <c r="B12" s="728">
        <f>+B11+1</f>
        <v>2</v>
      </c>
      <c r="C12" s="728" t="s">
        <v>2038</v>
      </c>
      <c r="D12" s="729" t="s">
        <v>2036</v>
      </c>
      <c r="E12" s="728" t="s">
        <v>2037</v>
      </c>
      <c r="F12" s="728"/>
      <c r="G12" s="728"/>
      <c r="H12" s="728"/>
      <c r="I12" s="728"/>
      <c r="J12" s="728"/>
      <c r="K12" s="728"/>
      <c r="L12" s="728"/>
      <c r="M12" s="728">
        <v>9960</v>
      </c>
      <c r="N12" s="728">
        <v>9960</v>
      </c>
      <c r="O12" s="728">
        <v>9960</v>
      </c>
      <c r="P12" s="728">
        <v>9960</v>
      </c>
      <c r="Q12" s="728">
        <v>9960</v>
      </c>
      <c r="R12" s="730">
        <f>+Q12</f>
        <v>9960</v>
      </c>
    </row>
    <row r="13" spans="1:18">
      <c r="B13" s="728">
        <v>3</v>
      </c>
      <c r="C13" s="729" t="s">
        <v>2039</v>
      </c>
      <c r="D13" s="729" t="s">
        <v>2036</v>
      </c>
      <c r="E13" s="728" t="s">
        <v>2040</v>
      </c>
      <c r="F13" s="728"/>
      <c r="G13" s="728"/>
      <c r="H13" s="728"/>
      <c r="I13" s="728"/>
      <c r="J13" s="728"/>
      <c r="K13" s="728"/>
      <c r="L13" s="728"/>
      <c r="M13" s="728"/>
      <c r="N13" s="728"/>
      <c r="O13" s="728"/>
      <c r="P13" s="728"/>
      <c r="Q13" s="728"/>
      <c r="R13" s="730">
        <f t="shared" ref="R13" si="2">SUM(F13:Q13)</f>
        <v>0</v>
      </c>
    </row>
    <row r="14" spans="1:18">
      <c r="B14" s="728"/>
      <c r="C14" s="728"/>
      <c r="D14" s="728"/>
      <c r="E14" s="728"/>
      <c r="F14" s="728"/>
      <c r="G14" s="728"/>
      <c r="H14" s="728"/>
      <c r="I14" s="728"/>
      <c r="J14" s="728"/>
      <c r="K14" s="728"/>
      <c r="L14" s="728"/>
      <c r="M14" s="728"/>
      <c r="N14" s="728"/>
      <c r="O14" s="728"/>
      <c r="P14" s="728"/>
      <c r="Q14" s="728"/>
      <c r="R14" s="728"/>
    </row>
    <row r="15" spans="1:18">
      <c r="B15" s="732"/>
      <c r="C15" s="731" t="s">
        <v>18</v>
      </c>
      <c r="D15" s="732"/>
      <c r="E15" s="732"/>
      <c r="F15" s="733">
        <f t="shared" ref="F15:R15" si="3">SUM(F11:F13)</f>
        <v>10000</v>
      </c>
      <c r="G15" s="733">
        <f t="shared" si="3"/>
        <v>10000</v>
      </c>
      <c r="H15" s="733">
        <f t="shared" si="3"/>
        <v>10000</v>
      </c>
      <c r="I15" s="733">
        <f t="shared" si="3"/>
        <v>10000</v>
      </c>
      <c r="J15" s="733">
        <f t="shared" si="3"/>
        <v>10000</v>
      </c>
      <c r="K15" s="733">
        <f t="shared" si="3"/>
        <v>10000</v>
      </c>
      <c r="L15" s="733">
        <f t="shared" si="3"/>
        <v>10000</v>
      </c>
      <c r="M15" s="733">
        <f t="shared" si="3"/>
        <v>10000</v>
      </c>
      <c r="N15" s="733">
        <f t="shared" si="3"/>
        <v>10000</v>
      </c>
      <c r="O15" s="733">
        <f t="shared" si="3"/>
        <v>10000</v>
      </c>
      <c r="P15" s="733">
        <f t="shared" si="3"/>
        <v>10000</v>
      </c>
      <c r="Q15" s="733">
        <f t="shared" si="3"/>
        <v>10000</v>
      </c>
      <c r="R15" s="733">
        <f t="shared" si="3"/>
        <v>10000</v>
      </c>
    </row>
    <row r="16" spans="1:18">
      <c r="B16" s="728"/>
      <c r="C16" s="728"/>
      <c r="D16" s="728"/>
      <c r="E16" s="728"/>
      <c r="F16" s="1471" t="s">
        <v>2042</v>
      </c>
      <c r="G16" s="1471"/>
      <c r="H16" s="1471"/>
      <c r="I16" s="1471"/>
      <c r="J16" s="1471"/>
      <c r="K16" s="1471"/>
      <c r="L16" s="1471"/>
      <c r="M16" s="1471"/>
      <c r="N16" s="1471"/>
      <c r="O16" s="1471"/>
      <c r="P16" s="1471"/>
      <c r="Q16" s="1471"/>
      <c r="R16" s="1471"/>
    </row>
    <row r="17" spans="1:18" ht="26.25">
      <c r="B17" s="728">
        <v>1</v>
      </c>
      <c r="C17" s="729" t="s">
        <v>2035</v>
      </c>
      <c r="D17" s="729" t="s">
        <v>2036</v>
      </c>
      <c r="E17" s="728" t="s">
        <v>2037</v>
      </c>
      <c r="F17" s="728">
        <v>3530</v>
      </c>
      <c r="G17" s="728">
        <v>3530</v>
      </c>
      <c r="H17" s="728">
        <v>3530</v>
      </c>
      <c r="I17" s="728">
        <v>3530</v>
      </c>
      <c r="J17" s="728">
        <v>8060</v>
      </c>
      <c r="K17" s="728">
        <v>8060</v>
      </c>
      <c r="L17" s="728">
        <v>8060</v>
      </c>
      <c r="M17" s="728">
        <v>30</v>
      </c>
      <c r="N17" s="728">
        <v>30</v>
      </c>
      <c r="O17" s="728">
        <v>30</v>
      </c>
      <c r="P17" s="728">
        <v>30</v>
      </c>
      <c r="Q17" s="728">
        <v>30</v>
      </c>
      <c r="R17" s="730">
        <f>+Q17</f>
        <v>30</v>
      </c>
    </row>
    <row r="18" spans="1:18">
      <c r="B18" s="728">
        <f>+B17+1</f>
        <v>2</v>
      </c>
      <c r="C18" s="728" t="s">
        <v>2038</v>
      </c>
      <c r="D18" s="729" t="s">
        <v>2036</v>
      </c>
      <c r="E18" s="728" t="s">
        <v>2037</v>
      </c>
      <c r="F18" s="728"/>
      <c r="G18" s="728"/>
      <c r="H18" s="728"/>
      <c r="I18" s="728"/>
      <c r="J18" s="728"/>
      <c r="K18" s="728"/>
      <c r="L18" s="728"/>
      <c r="M18" s="728">
        <v>8060</v>
      </c>
      <c r="N18" s="728">
        <v>8060</v>
      </c>
      <c r="O18" s="728">
        <v>8060</v>
      </c>
      <c r="P18" s="728">
        <v>8060</v>
      </c>
      <c r="Q18" s="728">
        <v>8060</v>
      </c>
      <c r="R18" s="730">
        <f>+Q18</f>
        <v>8060</v>
      </c>
    </row>
    <row r="19" spans="1:18">
      <c r="B19" s="728">
        <v>3</v>
      </c>
      <c r="C19" s="729" t="s">
        <v>2039</v>
      </c>
      <c r="D19" s="729" t="s">
        <v>2036</v>
      </c>
      <c r="E19" s="728" t="s">
        <v>2040</v>
      </c>
      <c r="F19" s="728"/>
      <c r="G19" s="728"/>
      <c r="H19" s="728"/>
      <c r="I19" s="728"/>
      <c r="J19" s="728"/>
      <c r="K19" s="728"/>
      <c r="L19" s="728"/>
      <c r="M19" s="728"/>
      <c r="N19" s="728"/>
      <c r="O19" s="728"/>
      <c r="P19" s="728"/>
      <c r="Q19" s="728"/>
      <c r="R19" s="730">
        <f t="shared" ref="R19" si="4">SUM(F19:Q19)</f>
        <v>0</v>
      </c>
    </row>
    <row r="20" spans="1:18">
      <c r="A20" s="726">
        <f>10^7</f>
        <v>10000000</v>
      </c>
      <c r="B20" s="728"/>
      <c r="C20" s="728"/>
      <c r="D20" s="728"/>
      <c r="E20" s="728"/>
      <c r="F20" s="728"/>
      <c r="G20" s="728"/>
      <c r="H20" s="728"/>
      <c r="I20" s="728"/>
      <c r="J20" s="728"/>
      <c r="K20" s="728"/>
      <c r="L20" s="728"/>
      <c r="M20" s="728"/>
      <c r="N20" s="728"/>
      <c r="O20" s="728"/>
      <c r="P20" s="728"/>
      <c r="Q20" s="728"/>
      <c r="R20" s="728"/>
    </row>
    <row r="21" spans="1:18">
      <c r="A21" s="726"/>
      <c r="B21" s="732"/>
      <c r="C21" s="731" t="s">
        <v>18</v>
      </c>
      <c r="D21" s="732"/>
      <c r="E21" s="732"/>
      <c r="F21" s="733">
        <f t="shared" ref="F21:R21" si="5">SUM(F17:F19)</f>
        <v>3530</v>
      </c>
      <c r="G21" s="733">
        <f t="shared" si="5"/>
        <v>3530</v>
      </c>
      <c r="H21" s="733">
        <f t="shared" si="5"/>
        <v>3530</v>
      </c>
      <c r="I21" s="733">
        <f t="shared" si="5"/>
        <v>3530</v>
      </c>
      <c r="J21" s="733">
        <f t="shared" si="5"/>
        <v>8060</v>
      </c>
      <c r="K21" s="733">
        <f t="shared" si="5"/>
        <v>8060</v>
      </c>
      <c r="L21" s="733">
        <f t="shared" si="5"/>
        <v>8060</v>
      </c>
      <c r="M21" s="733">
        <f t="shared" si="5"/>
        <v>8090</v>
      </c>
      <c r="N21" s="733">
        <f t="shared" si="5"/>
        <v>8090</v>
      </c>
      <c r="O21" s="733">
        <f t="shared" si="5"/>
        <v>8090</v>
      </c>
      <c r="P21" s="733">
        <f t="shared" si="5"/>
        <v>8090</v>
      </c>
      <c r="Q21" s="733">
        <f t="shared" si="5"/>
        <v>8090</v>
      </c>
      <c r="R21" s="733">
        <f t="shared" si="5"/>
        <v>8090</v>
      </c>
    </row>
    <row r="22" spans="1:18">
      <c r="B22" s="728"/>
      <c r="C22" s="728"/>
      <c r="D22" s="728"/>
      <c r="E22" s="728"/>
      <c r="F22" s="1471" t="s">
        <v>2043</v>
      </c>
      <c r="G22" s="1471"/>
      <c r="H22" s="1471"/>
      <c r="I22" s="1471"/>
      <c r="J22" s="1471"/>
      <c r="K22" s="1471"/>
      <c r="L22" s="1471"/>
      <c r="M22" s="1471"/>
      <c r="N22" s="1471"/>
      <c r="O22" s="1471"/>
      <c r="P22" s="1471"/>
      <c r="Q22" s="1471"/>
      <c r="R22" s="1471"/>
    </row>
    <row r="23" spans="1:18" ht="26.25">
      <c r="B23" s="728">
        <v>1</v>
      </c>
      <c r="C23" s="729" t="s">
        <v>2035</v>
      </c>
      <c r="D23" s="729" t="s">
        <v>2036</v>
      </c>
      <c r="E23" s="728" t="s">
        <v>2037</v>
      </c>
      <c r="F23" s="740">
        <v>1.77822192</v>
      </c>
      <c r="G23" s="740">
        <v>2.5977362081288198</v>
      </c>
      <c r="H23" s="740">
        <v>2.8685561344472195</v>
      </c>
      <c r="I23" s="740">
        <v>3.1711216435616798</v>
      </c>
      <c r="J23" s="740">
        <v>3.1927940000000001</v>
      </c>
      <c r="K23" s="740">
        <v>3.2789999999999981</v>
      </c>
      <c r="L23" s="740">
        <v>3.4455000000000044</v>
      </c>
      <c r="M23" s="740">
        <v>2.1495272727272696E-2</v>
      </c>
      <c r="N23" s="740">
        <v>2.22040519480519E-2</v>
      </c>
      <c r="O23" s="740">
        <v>2.2183067484662599E-2</v>
      </c>
      <c r="P23" s="740">
        <v>2.0159999999999997E-2</v>
      </c>
      <c r="Q23" s="740">
        <v>2.232E-2</v>
      </c>
      <c r="R23" s="730">
        <f>SUM(F23:Q23)</f>
        <v>20.441292298297707</v>
      </c>
    </row>
    <row r="24" spans="1:18">
      <c r="B24" s="728">
        <f>+B23+1</f>
        <v>2</v>
      </c>
      <c r="C24" s="728" t="s">
        <v>2038</v>
      </c>
      <c r="D24" s="729" t="s">
        <v>2036</v>
      </c>
      <c r="E24" s="728" t="s">
        <v>2037</v>
      </c>
      <c r="F24" s="740"/>
      <c r="G24" s="740"/>
      <c r="H24" s="740"/>
      <c r="I24" s="740"/>
      <c r="J24" s="740"/>
      <c r="K24" s="740"/>
      <c r="L24" s="740"/>
      <c r="M24" s="740">
        <v>3.3317047272727298</v>
      </c>
      <c r="N24" s="740">
        <v>3.3196959480519497</v>
      </c>
      <c r="O24" s="740">
        <v>3.3085169325153396</v>
      </c>
      <c r="P24" s="740">
        <v>3.2687504700000001</v>
      </c>
      <c r="Q24" s="740">
        <v>3.8700799999999997</v>
      </c>
      <c r="R24" s="730">
        <f t="shared" ref="R24:R25" si="6">SUM(F24:Q24)</f>
        <v>17.098748077840021</v>
      </c>
    </row>
    <row r="25" spans="1:18">
      <c r="B25" s="728">
        <v>3</v>
      </c>
      <c r="C25" s="729" t="s">
        <v>2039</v>
      </c>
      <c r="D25" s="729" t="s">
        <v>2036</v>
      </c>
      <c r="E25" s="728" t="s">
        <v>2040</v>
      </c>
      <c r="F25" s="740"/>
      <c r="G25" s="740"/>
      <c r="H25" s="740"/>
      <c r="I25" s="740"/>
      <c r="J25" s="740"/>
      <c r="K25" s="740"/>
      <c r="L25" s="740"/>
      <c r="M25" s="740"/>
      <c r="N25" s="740"/>
      <c r="O25" s="740"/>
      <c r="P25" s="740"/>
      <c r="Q25" s="740"/>
      <c r="R25" s="730">
        <f t="shared" si="6"/>
        <v>0</v>
      </c>
    </row>
    <row r="26" spans="1:18">
      <c r="B26" s="728"/>
      <c r="C26" s="728"/>
      <c r="D26" s="728"/>
      <c r="E26" s="728"/>
      <c r="F26" s="728"/>
      <c r="G26" s="728"/>
      <c r="H26" s="728"/>
      <c r="I26" s="728"/>
      <c r="J26" s="728"/>
      <c r="K26" s="728"/>
      <c r="L26" s="728"/>
      <c r="M26" s="728"/>
      <c r="N26" s="728"/>
      <c r="O26" s="728"/>
      <c r="P26" s="728"/>
      <c r="Q26" s="728"/>
      <c r="R26" s="728"/>
    </row>
    <row r="27" spans="1:18">
      <c r="B27" s="732"/>
      <c r="C27" s="731" t="s">
        <v>18</v>
      </c>
      <c r="D27" s="732"/>
      <c r="E27" s="732"/>
      <c r="F27" s="733">
        <f t="shared" ref="F27:R27" si="7">SUM(F23:F25)</f>
        <v>1.77822192</v>
      </c>
      <c r="G27" s="733">
        <f t="shared" si="7"/>
        <v>2.5977362081288198</v>
      </c>
      <c r="H27" s="733">
        <f t="shared" si="7"/>
        <v>2.8685561344472195</v>
      </c>
      <c r="I27" s="733">
        <f t="shared" si="7"/>
        <v>3.1711216435616798</v>
      </c>
      <c r="J27" s="733">
        <f t="shared" si="7"/>
        <v>3.1927940000000001</v>
      </c>
      <c r="K27" s="733">
        <f t="shared" si="7"/>
        <v>3.2789999999999981</v>
      </c>
      <c r="L27" s="733">
        <f t="shared" si="7"/>
        <v>3.4455000000000044</v>
      </c>
      <c r="M27" s="734">
        <f t="shared" si="7"/>
        <v>3.3532000000000024</v>
      </c>
      <c r="N27" s="735">
        <f t="shared" si="7"/>
        <v>3.3419000000000016</v>
      </c>
      <c r="O27" s="733">
        <f t="shared" si="7"/>
        <v>3.3307000000000024</v>
      </c>
      <c r="P27" s="733">
        <f t="shared" si="7"/>
        <v>3.2889104700000003</v>
      </c>
      <c r="Q27" s="733">
        <f t="shared" si="7"/>
        <v>3.8923999999999999</v>
      </c>
      <c r="R27" s="733">
        <f t="shared" si="7"/>
        <v>37.540040376137725</v>
      </c>
    </row>
    <row r="28" spans="1:18">
      <c r="B28" s="728"/>
      <c r="C28" s="728"/>
      <c r="D28" s="728"/>
      <c r="E28" s="728"/>
      <c r="F28" s="1471" t="s">
        <v>612</v>
      </c>
      <c r="G28" s="1471"/>
      <c r="H28" s="1471"/>
      <c r="I28" s="1471"/>
      <c r="J28" s="1471"/>
      <c r="K28" s="1471"/>
      <c r="L28" s="1471"/>
      <c r="M28" s="1471"/>
      <c r="N28" s="1471"/>
      <c r="O28" s="1471"/>
      <c r="P28" s="1471"/>
      <c r="Q28" s="1471"/>
      <c r="R28" s="1471"/>
    </row>
    <row r="29" spans="1:18" ht="26.25">
      <c r="B29" s="728">
        <v>1</v>
      </c>
      <c r="C29" s="729" t="s">
        <v>2035</v>
      </c>
      <c r="D29" s="729" t="s">
        <v>2036</v>
      </c>
      <c r="E29" s="728" t="s">
        <v>2037</v>
      </c>
      <c r="F29" s="740">
        <f>(1338410.96+407671.23)/A20</f>
        <v>0.17460821899999998</v>
      </c>
      <c r="G29" s="740">
        <f>(2376315.62+1878549.04)/A20</f>
        <v>0.42548646600000001</v>
      </c>
      <c r="H29" s="740">
        <f>(2749808.22+2717457.53)/A20</f>
        <v>0.54672657499999999</v>
      </c>
      <c r="I29" s="740">
        <f>(4139493.7+5426919.45)/A20</f>
        <v>0.95664131500000005</v>
      </c>
      <c r="J29" s="740">
        <f>2541014.79/A20</f>
        <v>0.25410147900000002</v>
      </c>
      <c r="K29" s="740">
        <f>2759276.71232877/A20</f>
        <v>0.27592767123287704</v>
      </c>
      <c r="L29" s="740">
        <f>2763195.61643836/A20</f>
        <v>0.27631956164383598</v>
      </c>
      <c r="M29" s="740">
        <f>9468.49/A20</f>
        <v>9.4684899999999993E-4</v>
      </c>
      <c r="N29" s="740">
        <f>9784.11/A20</f>
        <v>9.7841099999999999E-4</v>
      </c>
      <c r="O29" s="740">
        <f>9784.11/A20</f>
        <v>9.7841099999999999E-4</v>
      </c>
      <c r="P29" s="740">
        <f>8284.93/A20</f>
        <v>8.2849300000000002E-4</v>
      </c>
      <c r="Q29" s="740">
        <f>9172.6/A20</f>
        <v>9.1726000000000004E-4</v>
      </c>
      <c r="R29" s="740">
        <f>SUM(F29:Q29)</f>
        <v>2.9144607108767135</v>
      </c>
    </row>
    <row r="30" spans="1:18">
      <c r="B30" s="728">
        <f>+B29+1</f>
        <v>2</v>
      </c>
      <c r="C30" s="728" t="s">
        <v>2038</v>
      </c>
      <c r="D30" s="729" t="s">
        <v>2036</v>
      </c>
      <c r="E30" s="728" t="s">
        <v>2037</v>
      </c>
      <c r="F30" s="740"/>
      <c r="G30" s="740"/>
      <c r="H30" s="740"/>
      <c r="I30" s="740"/>
      <c r="J30" s="740"/>
      <c r="K30" s="740"/>
      <c r="L30" s="740"/>
      <c r="M30" s="740">
        <f>1957019.18/A20</f>
        <v>0.195701918</v>
      </c>
      <c r="N30" s="740">
        <f>1897200/A20</f>
        <v>0.18972</v>
      </c>
      <c r="O30" s="747">
        <f>1997792.87671233/A20</f>
        <v>0.19977928767123299</v>
      </c>
      <c r="P30" s="740">
        <f>(1933703+6627.95)/A20</f>
        <v>0.19403309499999999</v>
      </c>
      <c r="Q30" s="740">
        <f>(2239949.59+56258.63)/A20</f>
        <v>0.22962082199999997</v>
      </c>
      <c r="R30" s="740">
        <f t="shared" ref="R30:R31" si="8">SUM(F30:Q30)</f>
        <v>1.008855122671233</v>
      </c>
    </row>
    <row r="31" spans="1:18">
      <c r="B31" s="728">
        <v>3</v>
      </c>
      <c r="C31" s="729" t="s">
        <v>2039</v>
      </c>
      <c r="D31" s="729" t="s">
        <v>2036</v>
      </c>
      <c r="E31" s="728" t="s">
        <v>2040</v>
      </c>
      <c r="F31" s="740"/>
      <c r="G31" s="740"/>
      <c r="H31" s="740"/>
      <c r="I31" s="740"/>
      <c r="J31" s="740"/>
      <c r="K31" s="740"/>
      <c r="L31" s="740"/>
      <c r="M31" s="740"/>
      <c r="N31" s="740"/>
      <c r="O31" s="740"/>
      <c r="P31" s="740"/>
      <c r="Q31" s="740"/>
      <c r="R31" s="740">
        <f t="shared" si="8"/>
        <v>0</v>
      </c>
    </row>
    <row r="32" spans="1:18">
      <c r="B32" s="728"/>
      <c r="C32" s="728"/>
      <c r="D32" s="728"/>
      <c r="E32" s="728"/>
      <c r="F32" s="740"/>
      <c r="G32" s="740"/>
      <c r="H32" s="740"/>
      <c r="I32" s="740"/>
      <c r="J32" s="740"/>
      <c r="K32" s="740"/>
      <c r="L32" s="740"/>
      <c r="M32" s="740"/>
      <c r="N32" s="740"/>
      <c r="O32" s="740"/>
      <c r="P32" s="740"/>
      <c r="Q32" s="740"/>
      <c r="R32" s="740"/>
    </row>
    <row r="33" spans="2:29">
      <c r="B33" s="732"/>
      <c r="C33" s="731" t="s">
        <v>18</v>
      </c>
      <c r="D33" s="732"/>
      <c r="E33" s="732"/>
      <c r="F33" s="741">
        <f t="shared" ref="F33:R33" si="9">SUM(F29:F31)</f>
        <v>0.17460821899999998</v>
      </c>
      <c r="G33" s="741">
        <f t="shared" si="9"/>
        <v>0.42548646600000001</v>
      </c>
      <c r="H33" s="741">
        <f t="shared" si="9"/>
        <v>0.54672657499999999</v>
      </c>
      <c r="I33" s="741">
        <f t="shared" si="9"/>
        <v>0.95664131500000005</v>
      </c>
      <c r="J33" s="741">
        <f t="shared" si="9"/>
        <v>0.25410147900000002</v>
      </c>
      <c r="K33" s="741">
        <f t="shared" si="9"/>
        <v>0.27592767123287704</v>
      </c>
      <c r="L33" s="741">
        <f t="shared" si="9"/>
        <v>0.27631956164383598</v>
      </c>
      <c r="M33" s="741">
        <f t="shared" si="9"/>
        <v>0.196648767</v>
      </c>
      <c r="N33" s="741">
        <f t="shared" si="9"/>
        <v>0.19069841100000001</v>
      </c>
      <c r="O33" s="741">
        <f t="shared" si="9"/>
        <v>0.200757698671233</v>
      </c>
      <c r="P33" s="741">
        <f t="shared" si="9"/>
        <v>0.194861588</v>
      </c>
      <c r="Q33" s="741">
        <f t="shared" si="9"/>
        <v>0.23053808199999998</v>
      </c>
      <c r="R33" s="741">
        <f t="shared" si="9"/>
        <v>3.9233158335479468</v>
      </c>
    </row>
    <row r="34" spans="2:29">
      <c r="B34" s="728"/>
      <c r="C34" s="728"/>
      <c r="D34" s="728"/>
      <c r="E34" s="728"/>
      <c r="F34" s="1471" t="s">
        <v>611</v>
      </c>
      <c r="G34" s="1471"/>
      <c r="H34" s="1471"/>
      <c r="I34" s="1471"/>
      <c r="J34" s="1471"/>
      <c r="K34" s="1471"/>
      <c r="L34" s="1471"/>
      <c r="M34" s="1471"/>
      <c r="N34" s="1471"/>
      <c r="O34" s="1471"/>
      <c r="P34" s="1471"/>
      <c r="Q34" s="1471"/>
      <c r="R34" s="1471"/>
    </row>
    <row r="35" spans="2:29" ht="26.25">
      <c r="B35" s="728">
        <v>1</v>
      </c>
      <c r="C35" s="729" t="s">
        <v>2035</v>
      </c>
      <c r="D35" s="729" t="s">
        <v>2036</v>
      </c>
      <c r="E35" s="728" t="s">
        <v>2037</v>
      </c>
      <c r="F35" s="931">
        <v>1.4486524516299999</v>
      </c>
      <c r="G35" s="931">
        <v>2.1331595999999999</v>
      </c>
      <c r="H35" s="931">
        <v>2.3753635951879999</v>
      </c>
      <c r="I35" s="931">
        <v>2.6207755973533997</v>
      </c>
      <c r="J35" s="931">
        <v>2.5863697999999999</v>
      </c>
      <c r="K35" s="931">
        <v>2.6477227999999999</v>
      </c>
      <c r="L35" s="931">
        <v>2.8462177999999998</v>
      </c>
      <c r="M35" s="931">
        <v>1.73232E-2</v>
      </c>
      <c r="N35" s="931">
        <v>1.7900639999999999E-2</v>
      </c>
      <c r="O35" s="931">
        <v>1.7900639999999999E-2</v>
      </c>
      <c r="P35" s="931">
        <v>1.616832E-2</v>
      </c>
      <c r="Q35" s="931">
        <v>1.7900639999999999E-2</v>
      </c>
      <c r="R35" s="740">
        <f>SUM(F35:Q35)</f>
        <v>16.745455084171397</v>
      </c>
      <c r="S35" s="915"/>
      <c r="T35" s="915"/>
      <c r="U35" s="915"/>
      <c r="V35" s="915"/>
      <c r="W35" s="915"/>
      <c r="X35" s="915"/>
      <c r="Y35" s="915"/>
      <c r="Z35" s="915"/>
      <c r="AA35" s="915"/>
      <c r="AB35" s="915"/>
      <c r="AC35" s="915"/>
    </row>
    <row r="36" spans="2:29" ht="14.25">
      <c r="B36" s="728">
        <f>+B35+1</f>
        <v>2</v>
      </c>
      <c r="C36" s="728" t="s">
        <v>2038</v>
      </c>
      <c r="D36" s="729" t="s">
        <v>2036</v>
      </c>
      <c r="E36" s="728" t="s">
        <v>2037</v>
      </c>
      <c r="F36" s="931"/>
      <c r="G36" s="931"/>
      <c r="H36" s="931"/>
      <c r="I36" s="931"/>
      <c r="J36" s="931"/>
      <c r="K36" s="931"/>
      <c r="L36" s="931"/>
      <c r="M36" s="931">
        <v>2.4501399999999998</v>
      </c>
      <c r="N36" s="931">
        <v>2.4298959999999998</v>
      </c>
      <c r="O36" s="931">
        <v>2.415756</v>
      </c>
      <c r="P36" s="931">
        <v>2.370298</v>
      </c>
      <c r="Q36" s="931">
        <v>2.7791959999999998</v>
      </c>
      <c r="R36" s="740">
        <f t="shared" ref="R36:R37" si="10">SUM(F36:Q36)</f>
        <v>12.445285999999999</v>
      </c>
    </row>
    <row r="37" spans="2:29">
      <c r="B37" s="728">
        <v>3</v>
      </c>
      <c r="C37" s="729" t="s">
        <v>2039</v>
      </c>
      <c r="D37" s="729" t="s">
        <v>2036</v>
      </c>
      <c r="E37" s="728" t="s">
        <v>2040</v>
      </c>
      <c r="F37" s="740"/>
      <c r="G37" s="740"/>
      <c r="H37" s="740"/>
      <c r="I37" s="740"/>
      <c r="J37" s="740"/>
      <c r="K37" s="740"/>
      <c r="L37" s="740"/>
      <c r="M37" s="740"/>
      <c r="N37" s="740"/>
      <c r="O37" s="740"/>
      <c r="P37" s="740"/>
      <c r="Q37" s="740"/>
      <c r="R37" s="740">
        <f t="shared" si="10"/>
        <v>0</v>
      </c>
    </row>
    <row r="38" spans="2:29">
      <c r="B38" s="728"/>
      <c r="C38" s="728"/>
      <c r="D38" s="728"/>
      <c r="E38" s="728"/>
      <c r="F38" s="740"/>
      <c r="G38" s="740"/>
      <c r="H38" s="740"/>
      <c r="I38" s="740"/>
      <c r="J38" s="740"/>
      <c r="K38" s="740"/>
      <c r="L38" s="740"/>
      <c r="M38" s="740"/>
      <c r="N38" s="740"/>
      <c r="O38" s="740"/>
      <c r="P38" s="740"/>
      <c r="Q38" s="740"/>
      <c r="R38" s="740"/>
    </row>
    <row r="39" spans="2:29">
      <c r="B39" s="732"/>
      <c r="C39" s="731" t="s">
        <v>18</v>
      </c>
      <c r="D39" s="732"/>
      <c r="E39" s="732"/>
      <c r="F39" s="741">
        <f t="shared" ref="F39:R39" si="11">SUM(F35:F37)</f>
        <v>1.4486524516299999</v>
      </c>
      <c r="G39" s="741">
        <f t="shared" si="11"/>
        <v>2.1331595999999999</v>
      </c>
      <c r="H39" s="741">
        <f t="shared" si="11"/>
        <v>2.3753635951879999</v>
      </c>
      <c r="I39" s="741">
        <f t="shared" si="11"/>
        <v>2.6207755973533997</v>
      </c>
      <c r="J39" s="741">
        <f t="shared" si="11"/>
        <v>2.5863697999999999</v>
      </c>
      <c r="K39" s="741">
        <f t="shared" si="11"/>
        <v>2.6477227999999999</v>
      </c>
      <c r="L39" s="741">
        <f t="shared" si="11"/>
        <v>2.8462177999999998</v>
      </c>
      <c r="M39" s="741">
        <f t="shared" si="11"/>
        <v>2.4674631999999996</v>
      </c>
      <c r="N39" s="741">
        <f t="shared" si="11"/>
        <v>2.44779664</v>
      </c>
      <c r="O39" s="741">
        <f t="shared" si="11"/>
        <v>2.4336566400000001</v>
      </c>
      <c r="P39" s="741">
        <f t="shared" si="11"/>
        <v>2.3864663199999998</v>
      </c>
      <c r="Q39" s="741">
        <f t="shared" si="11"/>
        <v>2.7970966399999999</v>
      </c>
      <c r="R39" s="741">
        <f t="shared" si="11"/>
        <v>29.190741084171396</v>
      </c>
    </row>
    <row r="40" spans="2:29">
      <c r="B40" s="728"/>
      <c r="C40" s="728"/>
      <c r="D40" s="728"/>
      <c r="E40" s="728"/>
      <c r="F40" s="1471" t="s">
        <v>2057</v>
      </c>
      <c r="G40" s="1471"/>
      <c r="H40" s="1471"/>
      <c r="I40" s="1471"/>
      <c r="J40" s="1471"/>
      <c r="K40" s="1471"/>
      <c r="L40" s="1471"/>
      <c r="M40" s="1471"/>
      <c r="N40" s="1471"/>
      <c r="O40" s="1471"/>
      <c r="P40" s="1471"/>
      <c r="Q40" s="1471"/>
      <c r="R40" s="1471"/>
    </row>
    <row r="41" spans="2:29" ht="26.25">
      <c r="B41" s="728">
        <v>1</v>
      </c>
      <c r="C41" s="729" t="s">
        <v>2035</v>
      </c>
      <c r="D41" s="729" t="s">
        <v>2036</v>
      </c>
      <c r="E41" s="728" t="s">
        <v>2037</v>
      </c>
      <c r="F41" s="740">
        <v>-0.1582493547520408</v>
      </c>
      <c r="G41" s="740">
        <v>-0.23707911616438321</v>
      </c>
      <c r="H41" s="740">
        <v>-0.26503444171058077</v>
      </c>
      <c r="I41" s="740">
        <v>-0.30347249672164139</v>
      </c>
      <c r="J41" s="740">
        <v>-0.28404712794520537</v>
      </c>
      <c r="K41" s="740">
        <v>-0.29236504712328787</v>
      </c>
      <c r="L41" s="740">
        <v>-0.3122537361643834</v>
      </c>
      <c r="M41" s="740">
        <v>-1.8270049315068499E-3</v>
      </c>
      <c r="N41" s="740">
        <v>-1.88790509589041E-3</v>
      </c>
      <c r="O41" s="740">
        <v>-1.88790509589041E-3</v>
      </c>
      <c r="P41" s="740">
        <v>-1.6996813150684899E-3</v>
      </c>
      <c r="Q41" s="740">
        <v>-1.8817900273972597E-3</v>
      </c>
      <c r="R41" s="740">
        <f>SUM(F41:Q41)</f>
        <v>-1.861685607047276</v>
      </c>
    </row>
    <row r="42" spans="2:29">
      <c r="B42" s="728">
        <f>+B41+1</f>
        <v>2</v>
      </c>
      <c r="C42" s="728" t="s">
        <v>2038</v>
      </c>
      <c r="D42" s="729" t="s">
        <v>2036</v>
      </c>
      <c r="E42" s="728" t="s">
        <v>2037</v>
      </c>
      <c r="F42" s="742"/>
      <c r="G42" s="742"/>
      <c r="H42" s="742"/>
      <c r="I42" s="742"/>
      <c r="J42" s="742"/>
      <c r="K42" s="742"/>
      <c r="L42" s="742"/>
      <c r="M42" s="742">
        <v>-0.26458419178082199</v>
      </c>
      <c r="N42" s="740">
        <v>-0.26181027400000001</v>
      </c>
      <c r="O42" s="740">
        <v>-0.261426625767123</v>
      </c>
      <c r="P42" s="740">
        <v>-0.25625246413698599</v>
      </c>
      <c r="Q42" s="740">
        <v>-0.30024332789041103</v>
      </c>
      <c r="R42" s="740">
        <f t="shared" ref="R42" si="12">SUM(F42:Q42)</f>
        <v>-1.3443168835753421</v>
      </c>
    </row>
    <row r="43" spans="2:29">
      <c r="B43" s="728">
        <v>3</v>
      </c>
      <c r="C43" s="729" t="s">
        <v>2039</v>
      </c>
      <c r="D43" s="729" t="s">
        <v>2036</v>
      </c>
      <c r="E43" s="728" t="s">
        <v>2040</v>
      </c>
      <c r="F43" s="740">
        <v>0</v>
      </c>
      <c r="G43" s="740">
        <v>0</v>
      </c>
      <c r="H43" s="740">
        <v>0</v>
      </c>
      <c r="I43" s="740">
        <v>0</v>
      </c>
      <c r="J43" s="740">
        <v>0</v>
      </c>
      <c r="K43" s="740">
        <v>0</v>
      </c>
      <c r="L43" s="740">
        <v>0</v>
      </c>
      <c r="M43" s="740">
        <v>0</v>
      </c>
      <c r="N43" s="740"/>
      <c r="O43" s="740"/>
      <c r="P43" s="740"/>
      <c r="Q43" s="740"/>
      <c r="R43" s="740">
        <f>SUM(N43:Q43)</f>
        <v>0</v>
      </c>
    </row>
    <row r="44" spans="2:29">
      <c r="B44" s="728"/>
      <c r="C44" s="728"/>
      <c r="D44" s="728"/>
      <c r="E44" s="728"/>
      <c r="F44" s="740"/>
      <c r="G44" s="740"/>
      <c r="H44" s="740"/>
      <c r="I44" s="740"/>
      <c r="J44" s="740"/>
      <c r="K44" s="740"/>
      <c r="L44" s="740"/>
      <c r="M44" s="740"/>
      <c r="N44" s="740"/>
      <c r="O44" s="740"/>
      <c r="P44" s="740"/>
      <c r="Q44" s="740"/>
      <c r="R44" s="740"/>
    </row>
    <row r="45" spans="2:29">
      <c r="B45" s="732"/>
      <c r="C45" s="731" t="s">
        <v>18</v>
      </c>
      <c r="D45" s="732"/>
      <c r="E45" s="732"/>
      <c r="F45" s="741">
        <f t="shared" ref="F45:R45" si="13">SUM(F41:F43)</f>
        <v>-0.1582493547520408</v>
      </c>
      <c r="G45" s="741">
        <f t="shared" si="13"/>
        <v>-0.23707911616438321</v>
      </c>
      <c r="H45" s="741">
        <f t="shared" si="13"/>
        <v>-0.26503444171058077</v>
      </c>
      <c r="I45" s="741">
        <f t="shared" si="13"/>
        <v>-0.30347249672164139</v>
      </c>
      <c r="J45" s="741">
        <f t="shared" si="13"/>
        <v>-0.28404712794520537</v>
      </c>
      <c r="K45" s="741">
        <f t="shared" si="13"/>
        <v>-0.29236504712328787</v>
      </c>
      <c r="L45" s="741">
        <f t="shared" si="13"/>
        <v>-0.3122537361643834</v>
      </c>
      <c r="M45" s="741">
        <f t="shared" si="13"/>
        <v>-0.26641119671232882</v>
      </c>
      <c r="N45" s="741">
        <f t="shared" si="13"/>
        <v>-0.26369817909589044</v>
      </c>
      <c r="O45" s="741">
        <f t="shared" si="13"/>
        <v>-0.26331453086301343</v>
      </c>
      <c r="P45" s="741">
        <f t="shared" si="13"/>
        <v>-0.25795214545205447</v>
      </c>
      <c r="Q45" s="741">
        <f t="shared" si="13"/>
        <v>-0.30212511791780827</v>
      </c>
      <c r="R45" s="741">
        <f t="shared" si="13"/>
        <v>-3.2060024906226179</v>
      </c>
    </row>
    <row r="46" spans="2:29">
      <c r="B46" s="728"/>
      <c r="C46" s="728"/>
      <c r="D46" s="728"/>
      <c r="E46" s="728"/>
      <c r="F46" s="1471" t="s">
        <v>2044</v>
      </c>
      <c r="G46" s="1471"/>
      <c r="H46" s="1471"/>
      <c r="I46" s="1471"/>
      <c r="J46" s="1471"/>
      <c r="K46" s="1471"/>
      <c r="L46" s="1471"/>
      <c r="M46" s="1471"/>
      <c r="N46" s="1471"/>
      <c r="O46" s="1471"/>
      <c r="P46" s="1471"/>
      <c r="Q46" s="1471"/>
      <c r="R46" s="1471"/>
    </row>
    <row r="47" spans="2:29" ht="26.25">
      <c r="B47" s="728">
        <v>1</v>
      </c>
      <c r="C47" s="729" t="s">
        <v>2035</v>
      </c>
      <c r="D47" s="729" t="s">
        <v>2036</v>
      </c>
      <c r="E47" s="728" t="s">
        <v>2037</v>
      </c>
      <c r="F47" s="740">
        <v>0</v>
      </c>
      <c r="G47" s="740">
        <v>0</v>
      </c>
      <c r="H47" s="740">
        <v>0</v>
      </c>
      <c r="I47" s="740">
        <v>0</v>
      </c>
      <c r="J47" s="740">
        <v>0</v>
      </c>
      <c r="K47" s="740">
        <v>0</v>
      </c>
      <c r="L47" s="740">
        <v>0</v>
      </c>
      <c r="M47" s="740"/>
      <c r="N47" s="740">
        <v>0</v>
      </c>
      <c r="O47" s="740">
        <v>0</v>
      </c>
      <c r="P47" s="740">
        <v>0</v>
      </c>
      <c r="Q47" s="740">
        <v>0</v>
      </c>
      <c r="R47" s="740">
        <f>SUM(F47:Q47)</f>
        <v>0</v>
      </c>
    </row>
    <row r="48" spans="2:29">
      <c r="B48" s="728">
        <f>+B47+1</f>
        <v>2</v>
      </c>
      <c r="C48" s="728" t="s">
        <v>2038</v>
      </c>
      <c r="D48" s="729" t="s">
        <v>2036</v>
      </c>
      <c r="E48" s="728" t="s">
        <v>2037</v>
      </c>
      <c r="F48" s="740"/>
      <c r="G48" s="740"/>
      <c r="H48" s="740"/>
      <c r="I48" s="740"/>
      <c r="J48" s="740"/>
      <c r="K48" s="740"/>
      <c r="L48" s="740"/>
      <c r="M48" s="740">
        <v>0.17225256999999999</v>
      </c>
      <c r="N48" s="740">
        <v>-1.51326E-3</v>
      </c>
      <c r="O48" s="740">
        <v>-1.2689999999999999E-3</v>
      </c>
      <c r="P48" s="740">
        <v>-1.1436600000000001E-3</v>
      </c>
      <c r="Q48" s="740">
        <v>-7.5768000000000005E-4</v>
      </c>
      <c r="R48" s="740">
        <f t="shared" ref="R48:R49" si="14">SUM(F48:Q48)</f>
        <v>0.16756897000000001</v>
      </c>
    </row>
    <row r="49" spans="2:18">
      <c r="B49" s="728">
        <v>3</v>
      </c>
      <c r="C49" s="729" t="s">
        <v>2039</v>
      </c>
      <c r="D49" s="729" t="s">
        <v>2036</v>
      </c>
      <c r="E49" s="728" t="s">
        <v>2040</v>
      </c>
      <c r="F49" s="740"/>
      <c r="G49" s="740"/>
      <c r="H49" s="740"/>
      <c r="I49" s="740"/>
      <c r="J49" s="740"/>
      <c r="K49" s="740"/>
      <c r="L49" s="740"/>
      <c r="M49" s="740"/>
      <c r="N49" s="740"/>
      <c r="O49" s="740"/>
      <c r="P49" s="740"/>
      <c r="Q49" s="740"/>
      <c r="R49" s="740">
        <f t="shared" si="14"/>
        <v>0</v>
      </c>
    </row>
    <row r="50" spans="2:18">
      <c r="B50" s="728"/>
      <c r="C50" s="728"/>
      <c r="D50" s="728"/>
      <c r="E50" s="728"/>
      <c r="F50" s="740"/>
      <c r="G50" s="740"/>
      <c r="H50" s="740"/>
      <c r="I50" s="740"/>
      <c r="J50" s="740"/>
      <c r="K50" s="740"/>
      <c r="L50" s="740"/>
      <c r="M50" s="740"/>
      <c r="N50" s="740"/>
      <c r="O50" s="740"/>
      <c r="P50" s="740"/>
      <c r="Q50" s="740"/>
      <c r="R50" s="740"/>
    </row>
    <row r="51" spans="2:18">
      <c r="B51" s="732"/>
      <c r="C51" s="731" t="s">
        <v>18</v>
      </c>
      <c r="D51" s="732"/>
      <c r="E51" s="732"/>
      <c r="F51" s="741">
        <f t="shared" ref="F51:R51" si="15">SUM(F47:F49)</f>
        <v>0</v>
      </c>
      <c r="G51" s="741">
        <f t="shared" si="15"/>
        <v>0</v>
      </c>
      <c r="H51" s="741">
        <f t="shared" si="15"/>
        <v>0</v>
      </c>
      <c r="I51" s="741">
        <f t="shared" si="15"/>
        <v>0</v>
      </c>
      <c r="J51" s="741">
        <f t="shared" si="15"/>
        <v>0</v>
      </c>
      <c r="K51" s="741">
        <f t="shared" si="15"/>
        <v>0</v>
      </c>
      <c r="L51" s="741">
        <f t="shared" si="15"/>
        <v>0</v>
      </c>
      <c r="M51" s="741">
        <f t="shared" si="15"/>
        <v>0.17225256999999999</v>
      </c>
      <c r="N51" s="741">
        <f t="shared" si="15"/>
        <v>-1.51326E-3</v>
      </c>
      <c r="O51" s="741">
        <f t="shared" si="15"/>
        <v>-1.2689999999999999E-3</v>
      </c>
      <c r="P51" s="741">
        <f t="shared" si="15"/>
        <v>-1.1436600000000001E-3</v>
      </c>
      <c r="Q51" s="741">
        <f t="shared" si="15"/>
        <v>-7.5768000000000005E-4</v>
      </c>
      <c r="R51" s="741">
        <f t="shared" si="15"/>
        <v>0.16756897000000001</v>
      </c>
    </row>
    <row r="52" spans="2:18">
      <c r="B52" s="728"/>
      <c r="C52" s="728"/>
      <c r="D52" s="728"/>
      <c r="E52" s="728"/>
      <c r="F52" s="1471" t="s">
        <v>1464</v>
      </c>
      <c r="G52" s="1471"/>
      <c r="H52" s="1471"/>
      <c r="I52" s="1471"/>
      <c r="J52" s="1471"/>
      <c r="K52" s="1471"/>
      <c r="L52" s="1471"/>
      <c r="M52" s="1471"/>
      <c r="N52" s="1471"/>
      <c r="O52" s="1471"/>
      <c r="P52" s="1471"/>
      <c r="Q52" s="1471"/>
      <c r="R52" s="1471"/>
    </row>
    <row r="53" spans="2:18" ht="26.25">
      <c r="B53" s="728">
        <v>1</v>
      </c>
      <c r="C53" s="729" t="s">
        <v>2035</v>
      </c>
      <c r="D53" s="729" t="s">
        <v>2036</v>
      </c>
      <c r="E53" s="728" t="s">
        <v>2037</v>
      </c>
      <c r="F53" s="747">
        <v>0</v>
      </c>
      <c r="G53" s="747">
        <v>0</v>
      </c>
      <c r="H53" s="747">
        <v>0</v>
      </c>
      <c r="I53" s="747">
        <v>0</v>
      </c>
      <c r="J53" s="747">
        <v>0</v>
      </c>
      <c r="K53" s="747">
        <v>0</v>
      </c>
      <c r="L53" s="747">
        <v>0</v>
      </c>
      <c r="M53" s="930">
        <v>0</v>
      </c>
      <c r="N53" s="747">
        <v>0</v>
      </c>
      <c r="O53" s="747">
        <v>0</v>
      </c>
      <c r="P53" s="747">
        <v>0</v>
      </c>
      <c r="Q53" s="747">
        <v>0</v>
      </c>
      <c r="R53" s="740">
        <f>SUM(F53:Q53)</f>
        <v>0</v>
      </c>
    </row>
    <row r="54" spans="2:18">
      <c r="B54" s="728">
        <f>+B53+1</f>
        <v>2</v>
      </c>
      <c r="C54" s="728" t="s">
        <v>2038</v>
      </c>
      <c r="D54" s="729" t="s">
        <v>2036</v>
      </c>
      <c r="E54" s="728" t="s">
        <v>2037</v>
      </c>
      <c r="F54" s="747"/>
      <c r="G54" s="747"/>
      <c r="H54" s="747"/>
      <c r="I54" s="747"/>
      <c r="J54" s="747"/>
      <c r="K54" s="747"/>
      <c r="L54" s="747"/>
      <c r="M54" s="747">
        <v>0</v>
      </c>
      <c r="N54" s="747">
        <v>-0.17375650000000001</v>
      </c>
      <c r="O54" s="747">
        <v>0</v>
      </c>
      <c r="P54" s="747">
        <v>0</v>
      </c>
      <c r="Q54" s="747">
        <v>0</v>
      </c>
      <c r="R54" s="740">
        <f t="shared" ref="R54:R55" si="16">SUM(F54:Q54)</f>
        <v>-0.17375650000000001</v>
      </c>
    </row>
    <row r="55" spans="2:18">
      <c r="B55" s="728">
        <v>3</v>
      </c>
      <c r="C55" s="729" t="s">
        <v>2039</v>
      </c>
      <c r="D55" s="729" t="s">
        <v>2036</v>
      </c>
      <c r="E55" s="728" t="s">
        <v>2040</v>
      </c>
      <c r="F55" s="740"/>
      <c r="G55" s="740"/>
      <c r="H55" s="740"/>
      <c r="I55" s="740"/>
      <c r="J55" s="740"/>
      <c r="K55" s="740"/>
      <c r="L55" s="740"/>
      <c r="M55" s="740"/>
      <c r="N55" s="740"/>
      <c r="O55" s="740"/>
      <c r="P55" s="740"/>
      <c r="Q55" s="740"/>
      <c r="R55" s="740">
        <f t="shared" si="16"/>
        <v>0</v>
      </c>
    </row>
    <row r="56" spans="2:18">
      <c r="B56" s="728"/>
      <c r="C56" s="728"/>
      <c r="D56" s="728"/>
      <c r="E56" s="728"/>
      <c r="F56" s="740"/>
      <c r="G56" s="740"/>
      <c r="H56" s="740"/>
      <c r="I56" s="740"/>
      <c r="J56" s="740"/>
      <c r="K56" s="740"/>
      <c r="L56" s="740"/>
      <c r="M56" s="740"/>
      <c r="N56" s="740"/>
      <c r="O56" s="740"/>
      <c r="P56" s="740"/>
      <c r="Q56" s="740"/>
      <c r="R56" s="740"/>
    </row>
    <row r="57" spans="2:18">
      <c r="B57" s="732"/>
      <c r="C57" s="731" t="s">
        <v>18</v>
      </c>
      <c r="D57" s="732"/>
      <c r="E57" s="732"/>
      <c r="F57" s="741">
        <f t="shared" ref="F57:R57" si="17">SUM(F53:F55)</f>
        <v>0</v>
      </c>
      <c r="G57" s="741">
        <f t="shared" si="17"/>
        <v>0</v>
      </c>
      <c r="H57" s="741">
        <f t="shared" si="17"/>
        <v>0</v>
      </c>
      <c r="I57" s="741">
        <f t="shared" si="17"/>
        <v>0</v>
      </c>
      <c r="J57" s="741">
        <f t="shared" si="17"/>
        <v>0</v>
      </c>
      <c r="K57" s="741">
        <f t="shared" si="17"/>
        <v>0</v>
      </c>
      <c r="L57" s="741">
        <f t="shared" si="17"/>
        <v>0</v>
      </c>
      <c r="M57" s="741">
        <f t="shared" si="17"/>
        <v>0</v>
      </c>
      <c r="N57" s="741">
        <f t="shared" si="17"/>
        <v>-0.17375650000000001</v>
      </c>
      <c r="O57" s="741">
        <f t="shared" si="17"/>
        <v>0</v>
      </c>
      <c r="P57" s="741">
        <f t="shared" si="17"/>
        <v>0</v>
      </c>
      <c r="Q57" s="741">
        <f t="shared" si="17"/>
        <v>0</v>
      </c>
      <c r="R57" s="741">
        <f t="shared" si="17"/>
        <v>-0.17375650000000001</v>
      </c>
    </row>
    <row r="58" spans="2:18">
      <c r="B58" s="728"/>
      <c r="C58" s="728"/>
      <c r="D58" s="728"/>
      <c r="E58" s="728"/>
      <c r="F58" s="1475" t="s">
        <v>2045</v>
      </c>
      <c r="G58" s="1476"/>
      <c r="H58" s="1476"/>
      <c r="I58" s="1476"/>
      <c r="J58" s="1476"/>
      <c r="K58" s="1476"/>
      <c r="L58" s="1476"/>
      <c r="M58" s="1476"/>
      <c r="N58" s="1476"/>
      <c r="O58" s="1476"/>
      <c r="P58" s="1476"/>
      <c r="Q58" s="1476"/>
      <c r="R58" s="1477"/>
    </row>
    <row r="59" spans="2:18" ht="26.25">
      <c r="B59" s="728">
        <v>1</v>
      </c>
      <c r="C59" s="729" t="s">
        <v>2035</v>
      </c>
      <c r="D59" s="729" t="s">
        <v>2036</v>
      </c>
      <c r="E59" s="728" t="s">
        <v>2037</v>
      </c>
      <c r="F59" s="728"/>
      <c r="G59" s="728"/>
      <c r="H59" s="728"/>
      <c r="I59" s="728"/>
      <c r="J59" s="728"/>
      <c r="K59" s="728"/>
      <c r="L59" s="728"/>
      <c r="M59" s="728"/>
      <c r="N59" s="728"/>
      <c r="O59" s="728"/>
      <c r="P59" s="728"/>
      <c r="Q59" s="728"/>
      <c r="R59" s="730">
        <f>SUM(F59:Q59)</f>
        <v>0</v>
      </c>
    </row>
    <row r="60" spans="2:18">
      <c r="B60" s="728">
        <f>+B59+1</f>
        <v>2</v>
      </c>
      <c r="C60" s="728" t="s">
        <v>2038</v>
      </c>
      <c r="D60" s="729" t="s">
        <v>2036</v>
      </c>
      <c r="E60" s="728" t="s">
        <v>2037</v>
      </c>
      <c r="F60" s="728"/>
      <c r="G60" s="728"/>
      <c r="H60" s="728"/>
      <c r="I60" s="728"/>
      <c r="J60" s="728"/>
      <c r="K60" s="728"/>
      <c r="L60" s="728"/>
      <c r="M60" s="728"/>
      <c r="N60" s="728"/>
      <c r="O60" s="728"/>
      <c r="P60" s="728"/>
      <c r="Q60" s="728"/>
      <c r="R60" s="730">
        <f t="shared" ref="R60:R61" si="18">SUM(F60:Q60)</f>
        <v>0</v>
      </c>
    </row>
    <row r="61" spans="2:18">
      <c r="B61" s="728">
        <v>3</v>
      </c>
      <c r="C61" s="729" t="s">
        <v>2039</v>
      </c>
      <c r="D61" s="729" t="s">
        <v>2036</v>
      </c>
      <c r="E61" s="728" t="s">
        <v>2040</v>
      </c>
      <c r="F61" s="728"/>
      <c r="G61" s="728"/>
      <c r="H61" s="728"/>
      <c r="I61" s="728"/>
      <c r="J61" s="728"/>
      <c r="K61" s="728"/>
      <c r="L61" s="728"/>
      <c r="M61" s="728"/>
      <c r="N61" s="728"/>
      <c r="O61" s="728"/>
      <c r="P61" s="728"/>
      <c r="Q61" s="728"/>
      <c r="R61" s="730">
        <f t="shared" si="18"/>
        <v>0</v>
      </c>
    </row>
    <row r="62" spans="2:18">
      <c r="B62" s="728"/>
      <c r="C62" s="728"/>
      <c r="D62" s="728"/>
      <c r="E62" s="728"/>
      <c r="F62" s="728"/>
      <c r="G62" s="728"/>
      <c r="H62" s="728"/>
      <c r="I62" s="728"/>
      <c r="J62" s="728"/>
      <c r="K62" s="728"/>
      <c r="L62" s="728"/>
      <c r="M62" s="728"/>
      <c r="N62" s="728"/>
      <c r="O62" s="728"/>
      <c r="P62" s="728"/>
      <c r="Q62" s="728"/>
      <c r="R62" s="728"/>
    </row>
    <row r="63" spans="2:18">
      <c r="B63" s="732"/>
      <c r="C63" s="731" t="s">
        <v>18</v>
      </c>
      <c r="D63" s="732"/>
      <c r="E63" s="732"/>
      <c r="F63" s="733">
        <f t="shared" ref="F63:R63" si="19">SUM(F59:F61)</f>
        <v>0</v>
      </c>
      <c r="G63" s="733">
        <f t="shared" si="19"/>
        <v>0</v>
      </c>
      <c r="H63" s="733">
        <f t="shared" si="19"/>
        <v>0</v>
      </c>
      <c r="I63" s="733">
        <f t="shared" si="19"/>
        <v>0</v>
      </c>
      <c r="J63" s="733">
        <f t="shared" si="19"/>
        <v>0</v>
      </c>
      <c r="K63" s="733">
        <f t="shared" si="19"/>
        <v>0</v>
      </c>
      <c r="L63" s="733">
        <f t="shared" si="19"/>
        <v>0</v>
      </c>
      <c r="M63" s="733">
        <f t="shared" si="19"/>
        <v>0</v>
      </c>
      <c r="N63" s="733">
        <f t="shared" si="19"/>
        <v>0</v>
      </c>
      <c r="O63" s="733">
        <f t="shared" si="19"/>
        <v>0</v>
      </c>
      <c r="P63" s="733">
        <f t="shared" si="19"/>
        <v>0</v>
      </c>
      <c r="Q63" s="733">
        <f t="shared" si="19"/>
        <v>0</v>
      </c>
      <c r="R63" s="733">
        <f t="shared" si="19"/>
        <v>0</v>
      </c>
    </row>
    <row r="64" spans="2:18">
      <c r="B64" s="728"/>
      <c r="C64" s="728"/>
      <c r="D64" s="728"/>
      <c r="E64" s="728"/>
      <c r="F64" s="1471" t="s">
        <v>2046</v>
      </c>
      <c r="G64" s="1471"/>
      <c r="H64" s="1471"/>
      <c r="I64" s="1471"/>
      <c r="J64" s="1471"/>
      <c r="K64" s="1471"/>
      <c r="L64" s="1471"/>
      <c r="M64" s="1471"/>
      <c r="N64" s="1471"/>
      <c r="O64" s="1471"/>
      <c r="P64" s="1471"/>
      <c r="Q64" s="1471"/>
      <c r="R64" s="1471"/>
    </row>
    <row r="65" spans="2:18" ht="26.25">
      <c r="B65" s="728">
        <v>1</v>
      </c>
      <c r="C65" s="729" t="s">
        <v>2035</v>
      </c>
      <c r="D65" s="729" t="s">
        <v>2036</v>
      </c>
      <c r="E65" s="728" t="s">
        <v>2037</v>
      </c>
      <c r="F65" s="740">
        <v>0</v>
      </c>
      <c r="G65" s="740">
        <v>9.83543234664086E-3</v>
      </c>
      <c r="H65" s="740">
        <v>1.2410015666288301E-2</v>
      </c>
      <c r="I65" s="740">
        <v>1.5385620574880101E-2</v>
      </c>
      <c r="J65" s="740">
        <v>2.03348835068707E-2</v>
      </c>
      <c r="K65" s="740">
        <v>1.58128460886281E-2</v>
      </c>
      <c r="L65" s="740">
        <v>1.7508198753395099E-2</v>
      </c>
      <c r="M65" s="740"/>
      <c r="N65" s="740">
        <v>0</v>
      </c>
      <c r="O65" s="740">
        <v>0</v>
      </c>
      <c r="P65" s="740">
        <v>0</v>
      </c>
      <c r="Q65" s="740">
        <v>0</v>
      </c>
      <c r="R65" s="740">
        <f>SUM(F65:Q65)</f>
        <v>9.1286996936703155E-2</v>
      </c>
    </row>
    <row r="66" spans="2:18">
      <c r="B66" s="728">
        <f>+B65+1</f>
        <v>2</v>
      </c>
      <c r="C66" s="728" t="s">
        <v>2038</v>
      </c>
      <c r="D66" s="729" t="s">
        <v>2036</v>
      </c>
      <c r="E66" s="728" t="s">
        <v>2037</v>
      </c>
      <c r="F66" s="740"/>
      <c r="G66" s="740"/>
      <c r="H66" s="740"/>
      <c r="I66" s="740"/>
      <c r="J66" s="740"/>
      <c r="K66" s="740"/>
      <c r="L66" s="740"/>
      <c r="M66" s="740">
        <v>2.1953411999999999E-2</v>
      </c>
      <c r="N66" s="740">
        <v>2.7549392999999998E-2</v>
      </c>
      <c r="O66" s="740">
        <v>1.3305427999999999E-2</v>
      </c>
      <c r="P66" s="740">
        <v>6.8037380000000001E-3</v>
      </c>
      <c r="Q66" s="740">
        <v>1.6677821999999998E-2</v>
      </c>
      <c r="R66" s="740">
        <f t="shared" ref="R66:R67" si="20">SUM(F66:Q66)</f>
        <v>8.628979299999999E-2</v>
      </c>
    </row>
    <row r="67" spans="2:18">
      <c r="B67" s="728">
        <v>3</v>
      </c>
      <c r="C67" s="729" t="s">
        <v>2039</v>
      </c>
      <c r="D67" s="729" t="s">
        <v>2036</v>
      </c>
      <c r="E67" s="728" t="s">
        <v>2040</v>
      </c>
      <c r="F67" s="740"/>
      <c r="G67" s="740"/>
      <c r="H67" s="740"/>
      <c r="I67" s="740"/>
      <c r="J67" s="740"/>
      <c r="K67" s="740"/>
      <c r="L67" s="740"/>
      <c r="M67" s="740"/>
      <c r="N67" s="740"/>
      <c r="O67" s="740"/>
      <c r="P67" s="740"/>
      <c r="Q67" s="740"/>
      <c r="R67" s="740">
        <f t="shared" si="20"/>
        <v>0</v>
      </c>
    </row>
    <row r="68" spans="2:18">
      <c r="B68" s="728"/>
      <c r="C68" s="728"/>
      <c r="D68" s="728"/>
      <c r="E68" s="728"/>
      <c r="F68" s="740"/>
      <c r="G68" s="740"/>
      <c r="H68" s="740"/>
      <c r="I68" s="740"/>
      <c r="J68" s="740"/>
      <c r="K68" s="740"/>
      <c r="L68" s="740"/>
      <c r="M68" s="740"/>
      <c r="N68" s="740"/>
      <c r="O68" s="740"/>
      <c r="P68" s="740"/>
      <c r="Q68" s="740"/>
      <c r="R68" s="740"/>
    </row>
    <row r="69" spans="2:18">
      <c r="B69" s="732"/>
      <c r="C69" s="731" t="s">
        <v>18</v>
      </c>
      <c r="D69" s="732"/>
      <c r="E69" s="732"/>
      <c r="F69" s="741">
        <f t="shared" ref="F69:R69" si="21">SUM(F65:F67)</f>
        <v>0</v>
      </c>
      <c r="G69" s="741">
        <f t="shared" si="21"/>
        <v>9.83543234664086E-3</v>
      </c>
      <c r="H69" s="741">
        <f t="shared" si="21"/>
        <v>1.2410015666288301E-2</v>
      </c>
      <c r="I69" s="741">
        <f t="shared" si="21"/>
        <v>1.5385620574880101E-2</v>
      </c>
      <c r="J69" s="741">
        <f t="shared" si="21"/>
        <v>2.03348835068707E-2</v>
      </c>
      <c r="K69" s="741">
        <f t="shared" si="21"/>
        <v>1.58128460886281E-2</v>
      </c>
      <c r="L69" s="741">
        <f t="shared" si="21"/>
        <v>1.7508198753395099E-2</v>
      </c>
      <c r="M69" s="741">
        <f t="shared" si="21"/>
        <v>2.1953411999999999E-2</v>
      </c>
      <c r="N69" s="741">
        <f t="shared" si="21"/>
        <v>2.7549392999999998E-2</v>
      </c>
      <c r="O69" s="741">
        <f t="shared" si="21"/>
        <v>1.3305427999999999E-2</v>
      </c>
      <c r="P69" s="741">
        <f t="shared" si="21"/>
        <v>6.8037380000000001E-3</v>
      </c>
      <c r="Q69" s="741">
        <f t="shared" si="21"/>
        <v>1.6677821999999998E-2</v>
      </c>
      <c r="R69" s="741">
        <f t="shared" si="21"/>
        <v>0.17757678993670314</v>
      </c>
    </row>
    <row r="70" spans="2:18">
      <c r="B70" s="728"/>
      <c r="C70" s="728"/>
      <c r="D70" s="728"/>
      <c r="E70" s="728"/>
      <c r="F70" s="1471" t="s">
        <v>2047</v>
      </c>
      <c r="G70" s="1471"/>
      <c r="H70" s="1471"/>
      <c r="I70" s="1471"/>
      <c r="J70" s="1471"/>
      <c r="K70" s="1471"/>
      <c r="L70" s="1471"/>
      <c r="M70" s="1471"/>
      <c r="N70" s="1471"/>
      <c r="O70" s="1471"/>
      <c r="P70" s="1471"/>
      <c r="Q70" s="1471"/>
      <c r="R70" s="1471"/>
    </row>
    <row r="71" spans="2:18" ht="26.25">
      <c r="B71" s="728">
        <v>1</v>
      </c>
      <c r="C71" s="729" t="s">
        <v>2035</v>
      </c>
      <c r="D71" s="729" t="s">
        <v>2036</v>
      </c>
      <c r="E71" s="728" t="s">
        <v>2037</v>
      </c>
      <c r="F71" s="932">
        <v>0.11791554247498999</v>
      </c>
      <c r="G71" s="932">
        <v>0.17639035076712301</v>
      </c>
      <c r="H71" s="932">
        <v>0.19739965977608601</v>
      </c>
      <c r="I71" s="932">
        <v>0.22618844365916299</v>
      </c>
      <c r="J71" s="932">
        <v>0.21161941713698598</v>
      </c>
      <c r="K71" s="932">
        <v>0.21790353164383602</v>
      </c>
      <c r="L71" s="932">
        <v>0.23277437330137002</v>
      </c>
      <c r="M71" s="932"/>
      <c r="N71" s="932">
        <v>0</v>
      </c>
      <c r="O71" s="932">
        <v>0</v>
      </c>
      <c r="P71" s="932">
        <v>0</v>
      </c>
      <c r="Q71" s="932">
        <v>0</v>
      </c>
      <c r="R71" s="740">
        <f>SUM(F71:Q71)</f>
        <v>1.380191318759554</v>
      </c>
    </row>
    <row r="72" spans="2:18">
      <c r="B72" s="728">
        <f>+B71+1</f>
        <v>2</v>
      </c>
      <c r="C72" s="728" t="s">
        <v>2038</v>
      </c>
      <c r="D72" s="729" t="s">
        <v>2036</v>
      </c>
      <c r="E72" s="728" t="s">
        <v>2037</v>
      </c>
      <c r="F72" s="932"/>
      <c r="G72" s="932"/>
      <c r="H72" s="932"/>
      <c r="I72" s="932"/>
      <c r="J72" s="932"/>
      <c r="K72" s="932"/>
      <c r="L72" s="932"/>
      <c r="M72" s="932">
        <v>0.19843814399999998</v>
      </c>
      <c r="N72" s="932">
        <v>0.19635770599999999</v>
      </c>
      <c r="O72" s="932">
        <v>0.19606996899999998</v>
      </c>
      <c r="P72" s="932">
        <v>0.19218934800000001</v>
      </c>
      <c r="Q72" s="932">
        <v>0.22518249600000001</v>
      </c>
      <c r="R72" s="740">
        <f t="shared" ref="R72:R73" si="22">SUM(F72:Q72)</f>
        <v>1.0082376629999998</v>
      </c>
    </row>
    <row r="73" spans="2:18">
      <c r="B73" s="728">
        <v>3</v>
      </c>
      <c r="C73" s="729" t="s">
        <v>2039</v>
      </c>
      <c r="D73" s="729" t="s">
        <v>2036</v>
      </c>
      <c r="E73" s="728" t="s">
        <v>2040</v>
      </c>
      <c r="F73" s="740"/>
      <c r="G73" s="740"/>
      <c r="H73" s="740"/>
      <c r="I73" s="740"/>
      <c r="J73" s="740"/>
      <c r="K73" s="740"/>
      <c r="L73" s="740"/>
      <c r="M73" s="740"/>
      <c r="N73" s="740"/>
      <c r="O73" s="740"/>
      <c r="P73" s="740"/>
      <c r="Q73" s="740"/>
      <c r="R73" s="740">
        <f t="shared" si="22"/>
        <v>0</v>
      </c>
    </row>
    <row r="74" spans="2:18">
      <c r="B74" s="728"/>
      <c r="C74" s="728"/>
      <c r="D74" s="728"/>
      <c r="E74" s="728"/>
      <c r="F74" s="740"/>
      <c r="G74" s="740"/>
      <c r="H74" s="740"/>
      <c r="I74" s="740"/>
      <c r="J74" s="740"/>
      <c r="K74" s="740"/>
      <c r="L74" s="740"/>
      <c r="M74" s="740"/>
      <c r="N74" s="740"/>
      <c r="O74" s="740"/>
      <c r="P74" s="740"/>
      <c r="Q74" s="740"/>
      <c r="R74" s="740"/>
    </row>
    <row r="75" spans="2:18">
      <c r="B75" s="732"/>
      <c r="C75" s="731" t="s">
        <v>18</v>
      </c>
      <c r="D75" s="732"/>
      <c r="E75" s="732"/>
      <c r="F75" s="741">
        <f t="shared" ref="F75:R75" si="23">SUM(F71:F73)</f>
        <v>0.11791554247498999</v>
      </c>
      <c r="G75" s="741">
        <f t="shared" si="23"/>
        <v>0.17639035076712301</v>
      </c>
      <c r="H75" s="741">
        <f t="shared" si="23"/>
        <v>0.19739965977608601</v>
      </c>
      <c r="I75" s="741">
        <f t="shared" si="23"/>
        <v>0.22618844365916299</v>
      </c>
      <c r="J75" s="741">
        <f t="shared" si="23"/>
        <v>0.21161941713698598</v>
      </c>
      <c r="K75" s="741">
        <f t="shared" si="23"/>
        <v>0.21790353164383602</v>
      </c>
      <c r="L75" s="741">
        <f t="shared" si="23"/>
        <v>0.23277437330137002</v>
      </c>
      <c r="M75" s="743">
        <f t="shared" si="23"/>
        <v>0.19843814399999998</v>
      </c>
      <c r="N75" s="741">
        <f t="shared" si="23"/>
        <v>0.19635770599999999</v>
      </c>
      <c r="O75" s="741">
        <f t="shared" si="23"/>
        <v>0.19606996899999998</v>
      </c>
      <c r="P75" s="741">
        <f t="shared" si="23"/>
        <v>0.19218934800000001</v>
      </c>
      <c r="Q75" s="741">
        <f t="shared" si="23"/>
        <v>0.22518249600000001</v>
      </c>
      <c r="R75" s="741">
        <f t="shared" si="23"/>
        <v>2.3884289817595539</v>
      </c>
    </row>
    <row r="76" spans="2:18">
      <c r="B76" s="728"/>
      <c r="C76" s="728"/>
      <c r="D76" s="728"/>
      <c r="E76" s="728"/>
      <c r="F76" s="1471" t="s">
        <v>2117</v>
      </c>
      <c r="G76" s="1471"/>
      <c r="H76" s="1471"/>
      <c r="I76" s="1471"/>
      <c r="J76" s="1471"/>
      <c r="K76" s="1471"/>
      <c r="L76" s="1471"/>
      <c r="M76" s="1471"/>
      <c r="N76" s="1471"/>
      <c r="O76" s="1471"/>
      <c r="P76" s="1471"/>
      <c r="Q76" s="1471"/>
      <c r="R76" s="1471"/>
    </row>
    <row r="77" spans="2:18" ht="26.25">
      <c r="B77" s="728">
        <v>1</v>
      </c>
      <c r="C77" s="729" t="s">
        <v>2035</v>
      </c>
      <c r="D77" s="729" t="s">
        <v>2036</v>
      </c>
      <c r="E77" s="728" t="s">
        <v>2037</v>
      </c>
      <c r="F77" s="931">
        <v>0</v>
      </c>
      <c r="G77" s="931">
        <v>1.0736691754625401E-3</v>
      </c>
      <c r="H77" s="931">
        <v>2.48092946408219E-3</v>
      </c>
      <c r="I77" s="931">
        <v>2.83794133051378E-3</v>
      </c>
      <c r="J77" s="931">
        <v>3.4831420880216397E-3</v>
      </c>
      <c r="K77" s="931">
        <v>2.7072904731049699E-3</v>
      </c>
      <c r="L77" s="931">
        <v>2.7986045100701199E-3</v>
      </c>
      <c r="M77" s="931"/>
      <c r="N77" s="931"/>
      <c r="O77" s="931"/>
      <c r="P77" s="931"/>
      <c r="Q77" s="931"/>
      <c r="R77" s="740">
        <f>SUM(F77:Q77)</f>
        <v>1.5381577041255239E-2</v>
      </c>
    </row>
    <row r="78" spans="2:18" ht="14.25">
      <c r="B78" s="728">
        <f>+B77+1</f>
        <v>2</v>
      </c>
      <c r="C78" s="728" t="s">
        <v>2038</v>
      </c>
      <c r="D78" s="729" t="s">
        <v>2036</v>
      </c>
      <c r="E78" s="728" t="s">
        <v>2037</v>
      </c>
      <c r="F78" s="931"/>
      <c r="G78" s="931"/>
      <c r="H78" s="931"/>
      <c r="I78" s="931"/>
      <c r="J78" s="931"/>
      <c r="K78" s="931"/>
      <c r="L78" s="931"/>
      <c r="M78" s="931">
        <v>2.9908484995496598E-3</v>
      </c>
      <c r="N78" s="931">
        <v>2.7519484398630099E-3</v>
      </c>
      <c r="O78" s="931">
        <v>2.4920158127499999E-3</v>
      </c>
      <c r="P78" s="931">
        <v>2.5489096012294497E-3</v>
      </c>
      <c r="Q78" s="931">
        <v>2.4991243198561599E-3</v>
      </c>
      <c r="R78" s="740">
        <f t="shared" ref="R78:R79" si="24">SUM(F78:Q78)</f>
        <v>1.3282846673248281E-2</v>
      </c>
    </row>
    <row r="79" spans="2:18">
      <c r="B79" s="728">
        <v>3</v>
      </c>
      <c r="C79" s="729" t="s">
        <v>2039</v>
      </c>
      <c r="D79" s="729" t="s">
        <v>2036</v>
      </c>
      <c r="E79" s="728" t="s">
        <v>2040</v>
      </c>
      <c r="F79" s="740"/>
      <c r="G79" s="740"/>
      <c r="H79" s="740"/>
      <c r="I79" s="740"/>
      <c r="J79" s="740"/>
      <c r="K79" s="740"/>
      <c r="L79" s="740"/>
      <c r="M79" s="740"/>
      <c r="N79" s="740"/>
      <c r="O79" s="740"/>
      <c r="P79" s="740"/>
      <c r="Q79" s="740"/>
      <c r="R79" s="740">
        <f t="shared" si="24"/>
        <v>0</v>
      </c>
    </row>
    <row r="80" spans="2:18">
      <c r="B80" s="728"/>
      <c r="C80" s="728"/>
      <c r="D80" s="728"/>
      <c r="E80" s="728"/>
      <c r="F80" s="740"/>
      <c r="G80" s="740"/>
      <c r="H80" s="740"/>
      <c r="I80" s="740"/>
      <c r="J80" s="740"/>
      <c r="K80" s="740"/>
      <c r="L80" s="740"/>
      <c r="M80" s="740"/>
      <c r="N80" s="740"/>
      <c r="O80" s="740"/>
      <c r="P80" s="740"/>
      <c r="Q80" s="740"/>
      <c r="R80" s="740"/>
    </row>
    <row r="81" spans="2:20">
      <c r="B81" s="732"/>
      <c r="C81" s="731" t="s">
        <v>18</v>
      </c>
      <c r="D81" s="732"/>
      <c r="E81" s="732"/>
      <c r="F81" s="741">
        <f t="shared" ref="F81:R81" si="25">SUM(F77:F79)</f>
        <v>0</v>
      </c>
      <c r="G81" s="741">
        <f t="shared" si="25"/>
        <v>1.0736691754625401E-3</v>
      </c>
      <c r="H81" s="741">
        <f t="shared" si="25"/>
        <v>2.48092946408219E-3</v>
      </c>
      <c r="I81" s="741">
        <f t="shared" si="25"/>
        <v>2.83794133051378E-3</v>
      </c>
      <c r="J81" s="741">
        <f t="shared" si="25"/>
        <v>3.4831420880216397E-3</v>
      </c>
      <c r="K81" s="741">
        <f t="shared" si="25"/>
        <v>2.7072904731049699E-3</v>
      </c>
      <c r="L81" s="741">
        <f t="shared" si="25"/>
        <v>2.7986045100701199E-3</v>
      </c>
      <c r="M81" s="743">
        <f t="shared" si="25"/>
        <v>2.9908484995496598E-3</v>
      </c>
      <c r="N81" s="741">
        <f t="shared" si="25"/>
        <v>2.7519484398630099E-3</v>
      </c>
      <c r="O81" s="741">
        <f t="shared" si="25"/>
        <v>2.4920158127499999E-3</v>
      </c>
      <c r="P81" s="741">
        <f t="shared" si="25"/>
        <v>2.5489096012294497E-3</v>
      </c>
      <c r="Q81" s="741">
        <f t="shared" si="25"/>
        <v>2.4991243198561599E-3</v>
      </c>
      <c r="R81" s="741">
        <f t="shared" si="25"/>
        <v>2.866442371450352E-2</v>
      </c>
    </row>
    <row r="82" spans="2:20">
      <c r="B82" s="728"/>
      <c r="C82" s="728"/>
      <c r="D82" s="728"/>
      <c r="E82" s="728"/>
      <c r="F82" s="1471" t="s">
        <v>2048</v>
      </c>
      <c r="G82" s="1471"/>
      <c r="H82" s="1471"/>
      <c r="I82" s="1471"/>
      <c r="J82" s="1471"/>
      <c r="K82" s="1471"/>
      <c r="L82" s="1471"/>
      <c r="M82" s="1471"/>
      <c r="N82" s="1471"/>
      <c r="O82" s="1471"/>
      <c r="P82" s="1471"/>
      <c r="Q82" s="1471"/>
      <c r="R82" s="1471"/>
    </row>
    <row r="83" spans="2:20" ht="26.25">
      <c r="B83" s="728">
        <v>1</v>
      </c>
      <c r="C83" s="729" t="s">
        <v>2035</v>
      </c>
      <c r="D83" s="729" t="s">
        <v>2036</v>
      </c>
      <c r="E83" s="728" t="s">
        <v>2037</v>
      </c>
      <c r="F83" s="740">
        <f>+F29+F35+F41+F47+F53+F59+F65+F71+F77</f>
        <v>1.5829268583529492</v>
      </c>
      <c r="G83" s="740">
        <f t="shared" ref="G83:Q83" si="26">+G29+G35+G41+G47+G53+G59+G65+G71+G77</f>
        <v>2.5088664021248435</v>
      </c>
      <c r="H83" s="740">
        <f t="shared" si="26"/>
        <v>2.8693463333838762</v>
      </c>
      <c r="I83" s="740">
        <f t="shared" si="26"/>
        <v>3.5183564211963154</v>
      </c>
      <c r="J83" s="740">
        <f t="shared" si="26"/>
        <v>2.7918615937866731</v>
      </c>
      <c r="K83" s="740">
        <f t="shared" si="26"/>
        <v>2.8677090923151587</v>
      </c>
      <c r="L83" s="740">
        <f t="shared" si="26"/>
        <v>3.0633648020442874</v>
      </c>
      <c r="M83" s="740">
        <f t="shared" si="26"/>
        <v>1.6443044068493149E-2</v>
      </c>
      <c r="N83" s="740">
        <f t="shared" si="26"/>
        <v>1.6991145904109588E-2</v>
      </c>
      <c r="O83" s="740">
        <f t="shared" si="26"/>
        <v>1.6991145904109588E-2</v>
      </c>
      <c r="P83" s="740">
        <f t="shared" si="26"/>
        <v>1.5297131684931509E-2</v>
      </c>
      <c r="Q83" s="740">
        <f t="shared" si="26"/>
        <v>1.6936109972602739E-2</v>
      </c>
      <c r="R83" s="740">
        <f>SUM(F83:Q83)</f>
        <v>19.28509008073835</v>
      </c>
    </row>
    <row r="84" spans="2:20">
      <c r="B84" s="728">
        <f>+B83+1</f>
        <v>2</v>
      </c>
      <c r="C84" s="728" t="s">
        <v>2038</v>
      </c>
      <c r="D84" s="729" t="s">
        <v>2036</v>
      </c>
      <c r="E84" s="728" t="s">
        <v>2037</v>
      </c>
      <c r="F84" s="740">
        <f t="shared" ref="F84:Q84" si="27">+F30+F36+F42+F48+F54+F60+F66+F72+F78</f>
        <v>0</v>
      </c>
      <c r="G84" s="740">
        <f t="shared" si="27"/>
        <v>0</v>
      </c>
      <c r="H84" s="740">
        <f t="shared" si="27"/>
        <v>0</v>
      </c>
      <c r="I84" s="740">
        <f t="shared" si="27"/>
        <v>0</v>
      </c>
      <c r="J84" s="740">
        <f t="shared" si="27"/>
        <v>0</v>
      </c>
      <c r="K84" s="740">
        <f t="shared" si="27"/>
        <v>0</v>
      </c>
      <c r="L84" s="740">
        <f t="shared" si="27"/>
        <v>0</v>
      </c>
      <c r="M84" s="740">
        <f t="shared" si="27"/>
        <v>2.7768927007187272</v>
      </c>
      <c r="N84" s="740">
        <f t="shared" si="27"/>
        <v>2.409195013439863</v>
      </c>
      <c r="O84" s="740">
        <f t="shared" si="27"/>
        <v>2.5647070747168592</v>
      </c>
      <c r="P84" s="740">
        <f t="shared" si="27"/>
        <v>2.5084769664642432</v>
      </c>
      <c r="Q84" s="740">
        <f t="shared" si="27"/>
        <v>2.9521752564294448</v>
      </c>
      <c r="R84" s="740">
        <f t="shared" ref="R84:R85" si="28">SUM(F84:Q84)</f>
        <v>13.211447011769138</v>
      </c>
    </row>
    <row r="85" spans="2:20">
      <c r="B85" s="728">
        <v>3</v>
      </c>
      <c r="C85" s="729" t="s">
        <v>2039</v>
      </c>
      <c r="D85" s="729" t="s">
        <v>2036</v>
      </c>
      <c r="E85" s="728" t="s">
        <v>2040</v>
      </c>
      <c r="F85" s="740">
        <f t="shared" ref="F85:Q85" si="29">+F31+F37+F43+F49+F55+F61+F67+F73+F79</f>
        <v>0</v>
      </c>
      <c r="G85" s="740">
        <f t="shared" si="29"/>
        <v>0</v>
      </c>
      <c r="H85" s="740">
        <f t="shared" si="29"/>
        <v>0</v>
      </c>
      <c r="I85" s="740">
        <f t="shared" si="29"/>
        <v>0</v>
      </c>
      <c r="J85" s="740">
        <f t="shared" si="29"/>
        <v>0</v>
      </c>
      <c r="K85" s="740">
        <f t="shared" si="29"/>
        <v>0</v>
      </c>
      <c r="L85" s="740">
        <f t="shared" si="29"/>
        <v>0</v>
      </c>
      <c r="M85" s="740">
        <f t="shared" si="29"/>
        <v>0</v>
      </c>
      <c r="N85" s="740">
        <f t="shared" si="29"/>
        <v>0</v>
      </c>
      <c r="O85" s="740">
        <f t="shared" si="29"/>
        <v>0</v>
      </c>
      <c r="P85" s="740">
        <f t="shared" si="29"/>
        <v>0</v>
      </c>
      <c r="Q85" s="740">
        <f t="shared" si="29"/>
        <v>0</v>
      </c>
      <c r="R85" s="740">
        <f t="shared" si="28"/>
        <v>0</v>
      </c>
    </row>
    <row r="86" spans="2:20">
      <c r="B86" s="728"/>
      <c r="C86" s="728"/>
      <c r="D86" s="728"/>
      <c r="E86" s="728"/>
      <c r="F86" s="740"/>
      <c r="G86" s="740"/>
      <c r="H86" s="740"/>
      <c r="I86" s="740"/>
      <c r="J86" s="740"/>
      <c r="K86" s="740"/>
      <c r="L86" s="740"/>
      <c r="M86" s="740"/>
      <c r="N86" s="740"/>
      <c r="O86" s="740"/>
      <c r="P86" s="740"/>
      <c r="Q86" s="740"/>
      <c r="R86" s="740"/>
    </row>
    <row r="87" spans="2:20">
      <c r="B87" s="732"/>
      <c r="C87" s="731" t="s">
        <v>18</v>
      </c>
      <c r="D87" s="732"/>
      <c r="E87" s="732"/>
      <c r="F87" s="741">
        <f t="shared" ref="F87:R87" si="30">SUM(F83:F85)</f>
        <v>1.5829268583529492</v>
      </c>
      <c r="G87" s="741">
        <f t="shared" si="30"/>
        <v>2.5088664021248435</v>
      </c>
      <c r="H87" s="741">
        <f t="shared" si="30"/>
        <v>2.8693463333838762</v>
      </c>
      <c r="I87" s="741">
        <f t="shared" si="30"/>
        <v>3.5183564211963154</v>
      </c>
      <c r="J87" s="741">
        <f t="shared" si="30"/>
        <v>2.7918615937866731</v>
      </c>
      <c r="K87" s="741">
        <f t="shared" si="30"/>
        <v>2.8677090923151587</v>
      </c>
      <c r="L87" s="741">
        <f t="shared" si="30"/>
        <v>3.0633648020442874</v>
      </c>
      <c r="M87" s="741">
        <f t="shared" si="30"/>
        <v>2.7933357447872202</v>
      </c>
      <c r="N87" s="741">
        <f t="shared" si="30"/>
        <v>2.4261861593439726</v>
      </c>
      <c r="O87" s="741">
        <f t="shared" si="30"/>
        <v>2.5816982206209689</v>
      </c>
      <c r="P87" s="741">
        <f t="shared" si="30"/>
        <v>2.5237740981491745</v>
      </c>
      <c r="Q87" s="741">
        <f t="shared" si="30"/>
        <v>2.9691113664020476</v>
      </c>
      <c r="R87" s="741">
        <f t="shared" si="30"/>
        <v>32.496537092507488</v>
      </c>
      <c r="S87" s="915"/>
    </row>
    <row r="88" spans="2:20">
      <c r="B88" s="728"/>
      <c r="C88" s="728"/>
      <c r="D88" s="728"/>
      <c r="E88" s="728"/>
      <c r="F88" s="1471" t="s">
        <v>2049</v>
      </c>
      <c r="G88" s="1471"/>
      <c r="H88" s="1471"/>
      <c r="I88" s="1471"/>
      <c r="J88" s="1471"/>
      <c r="K88" s="1471"/>
      <c r="L88" s="1471"/>
      <c r="M88" s="1471"/>
      <c r="N88" s="1471"/>
      <c r="O88" s="1471"/>
      <c r="P88" s="1471"/>
      <c r="Q88" s="1471"/>
      <c r="R88" s="1471"/>
      <c r="T88" s="915"/>
    </row>
    <row r="89" spans="2:20" ht="26.25">
      <c r="B89" s="728">
        <v>1</v>
      </c>
      <c r="C89" s="729" t="s">
        <v>2035</v>
      </c>
      <c r="D89" s="729" t="s">
        <v>2036</v>
      </c>
      <c r="E89" s="728" t="s">
        <v>2037</v>
      </c>
      <c r="F89" s="933">
        <v>1.582926858</v>
      </c>
      <c r="G89" s="933">
        <v>2.5088664019999998</v>
      </c>
      <c r="H89" s="933">
        <v>2.8693458999999999</v>
      </c>
      <c r="I89" s="933">
        <v>3.5621187459999999</v>
      </c>
      <c r="J89" s="933">
        <v>2.7822410460000002</v>
      </c>
      <c r="K89" s="933">
        <v>2.8687860440000001</v>
      </c>
      <c r="L89" s="933">
        <v>3.0281464490000003</v>
      </c>
      <c r="M89" s="933">
        <v>1.6443044E-2</v>
      </c>
      <c r="N89" s="933">
        <v>1.6991145999999999E-2</v>
      </c>
      <c r="O89" s="933">
        <v>1.6991099999999999E-2</v>
      </c>
      <c r="P89" s="933">
        <v>1.5297099999999999E-2</v>
      </c>
      <c r="Q89" s="933">
        <v>1.6936099999999999E-2</v>
      </c>
      <c r="R89" s="740">
        <f>SUM(F89:Q89)</f>
        <v>19.285089934999998</v>
      </c>
    </row>
    <row r="90" spans="2:20">
      <c r="B90" s="728">
        <f>+B89+1</f>
        <v>2</v>
      </c>
      <c r="C90" s="728" t="s">
        <v>2038</v>
      </c>
      <c r="D90" s="729" t="s">
        <v>2036</v>
      </c>
      <c r="E90" s="728" t="s">
        <v>2037</v>
      </c>
      <c r="F90" s="933"/>
      <c r="G90" s="933"/>
      <c r="H90" s="933"/>
      <c r="I90" s="933"/>
      <c r="J90" s="933"/>
      <c r="K90" s="933"/>
      <c r="L90" s="933"/>
      <c r="M90" s="933">
        <v>2.6637705999999999</v>
      </c>
      <c r="N90" s="933">
        <v>2.5223171999999998</v>
      </c>
      <c r="O90" s="933">
        <v>2.5647069999999998</v>
      </c>
      <c r="P90" s="933">
        <v>2.5084770000000001</v>
      </c>
      <c r="Q90" s="933">
        <v>2.9890775999999999</v>
      </c>
      <c r="R90" s="740">
        <f>SUM(F90:Q90)</f>
        <v>13.2483494</v>
      </c>
    </row>
    <row r="91" spans="2:20">
      <c r="B91" s="728">
        <v>3</v>
      </c>
      <c r="C91" s="729" t="s">
        <v>2039</v>
      </c>
      <c r="D91" s="729" t="s">
        <v>2036</v>
      </c>
      <c r="E91" s="728" t="s">
        <v>2040</v>
      </c>
      <c r="F91" s="740"/>
      <c r="G91" s="740"/>
      <c r="H91" s="740"/>
      <c r="I91" s="740"/>
      <c r="J91" s="740"/>
      <c r="K91" s="740"/>
      <c r="L91" s="740"/>
      <c r="M91" s="740"/>
      <c r="N91" s="740"/>
      <c r="O91" s="742"/>
      <c r="P91" s="740"/>
      <c r="Q91" s="744"/>
      <c r="R91" s="740">
        <f>SUM(F91:Q91)</f>
        <v>0</v>
      </c>
    </row>
    <row r="92" spans="2:20">
      <c r="B92" s="728"/>
      <c r="C92" s="728"/>
      <c r="D92" s="728"/>
      <c r="E92" s="728"/>
      <c r="F92" s="740"/>
      <c r="G92" s="740"/>
      <c r="H92" s="740"/>
      <c r="I92" s="740"/>
      <c r="J92" s="740"/>
      <c r="K92" s="740"/>
      <c r="L92" s="740"/>
      <c r="M92" s="740"/>
      <c r="N92" s="740"/>
      <c r="O92" s="740"/>
      <c r="P92" s="740"/>
      <c r="Q92" s="740"/>
      <c r="R92" s="740"/>
    </row>
    <row r="93" spans="2:20">
      <c r="B93" s="732"/>
      <c r="C93" s="731" t="s">
        <v>18</v>
      </c>
      <c r="D93" s="732"/>
      <c r="E93" s="732"/>
      <c r="F93" s="741">
        <f t="shared" ref="F93:R93" si="31">SUM(F89:F91)</f>
        <v>1.582926858</v>
      </c>
      <c r="G93" s="741">
        <f t="shared" si="31"/>
        <v>2.5088664019999998</v>
      </c>
      <c r="H93" s="741">
        <f t="shared" si="31"/>
        <v>2.8693458999999999</v>
      </c>
      <c r="I93" s="741">
        <f t="shared" si="31"/>
        <v>3.5621187459999999</v>
      </c>
      <c r="J93" s="741">
        <f t="shared" si="31"/>
        <v>2.7822410460000002</v>
      </c>
      <c r="K93" s="741">
        <f t="shared" si="31"/>
        <v>2.8687860440000001</v>
      </c>
      <c r="L93" s="741">
        <f t="shared" si="31"/>
        <v>3.0281464490000003</v>
      </c>
      <c r="M93" s="741">
        <f t="shared" si="31"/>
        <v>2.6802136439999997</v>
      </c>
      <c r="N93" s="741">
        <f t="shared" si="31"/>
        <v>2.5393083459999999</v>
      </c>
      <c r="O93" s="741">
        <f t="shared" si="31"/>
        <v>2.5816980999999997</v>
      </c>
      <c r="P93" s="741">
        <f t="shared" si="31"/>
        <v>2.5237741000000002</v>
      </c>
      <c r="Q93" s="741">
        <f t="shared" si="31"/>
        <v>3.0060137</v>
      </c>
      <c r="R93" s="741">
        <f t="shared" si="31"/>
        <v>32.533439334999997</v>
      </c>
    </row>
    <row r="95" spans="2:20">
      <c r="B95" s="1478" t="s">
        <v>74</v>
      </c>
      <c r="C95" s="1478" t="s">
        <v>10</v>
      </c>
      <c r="D95" s="1478" t="s">
        <v>355</v>
      </c>
      <c r="E95" s="1478" t="s">
        <v>2033</v>
      </c>
      <c r="F95" s="1479" t="s">
        <v>343</v>
      </c>
      <c r="G95" s="1479"/>
      <c r="H95" s="1479"/>
      <c r="I95" s="1479"/>
      <c r="J95" s="1479"/>
      <c r="K95" s="1479"/>
      <c r="L95" s="1479"/>
      <c r="M95" s="1479"/>
      <c r="N95" s="1479"/>
      <c r="O95" s="1479"/>
      <c r="P95" s="1479"/>
      <c r="Q95" s="1479"/>
      <c r="R95" s="1479"/>
    </row>
    <row r="96" spans="2:20">
      <c r="B96" s="1478"/>
      <c r="C96" s="1478"/>
      <c r="D96" s="1478"/>
      <c r="E96" s="1478"/>
      <c r="F96" s="746" t="s">
        <v>166</v>
      </c>
      <c r="G96" s="746" t="s">
        <v>167</v>
      </c>
      <c r="H96" s="746" t="s">
        <v>168</v>
      </c>
      <c r="I96" s="746" t="s">
        <v>169</v>
      </c>
      <c r="J96" s="746" t="s">
        <v>170</v>
      </c>
      <c r="K96" s="746" t="s">
        <v>171</v>
      </c>
      <c r="L96" s="746" t="s">
        <v>176</v>
      </c>
      <c r="M96" s="746" t="s">
        <v>172</v>
      </c>
      <c r="N96" s="746" t="s">
        <v>173</v>
      </c>
      <c r="O96" s="746" t="s">
        <v>175</v>
      </c>
      <c r="P96" s="746" t="s">
        <v>174</v>
      </c>
      <c r="Q96" s="746" t="s">
        <v>177</v>
      </c>
      <c r="R96" s="746" t="s">
        <v>143</v>
      </c>
    </row>
    <row r="97" spans="2:18">
      <c r="B97" s="728"/>
      <c r="C97" s="728"/>
      <c r="D97" s="728"/>
      <c r="E97" s="728"/>
      <c r="F97" s="1471" t="s">
        <v>2050</v>
      </c>
      <c r="G97" s="1471"/>
      <c r="H97" s="1471"/>
      <c r="I97" s="1471"/>
      <c r="J97" s="1471"/>
      <c r="K97" s="1471"/>
      <c r="L97" s="1471"/>
      <c r="M97" s="1471"/>
      <c r="N97" s="1471"/>
      <c r="O97" s="1471"/>
      <c r="P97" s="1471"/>
      <c r="Q97" s="1471"/>
      <c r="R97" s="1471"/>
    </row>
    <row r="98" spans="2:18" ht="26.25">
      <c r="B98" s="748" t="s">
        <v>32</v>
      </c>
      <c r="C98" s="749" t="s">
        <v>2051</v>
      </c>
      <c r="D98" s="728" t="s">
        <v>2052</v>
      </c>
      <c r="E98" s="728"/>
      <c r="F98" s="740">
        <v>0</v>
      </c>
      <c r="G98" s="740">
        <v>0</v>
      </c>
      <c r="H98" s="740">
        <v>0</v>
      </c>
      <c r="I98" s="740">
        <v>0</v>
      </c>
      <c r="J98" s="740">
        <v>0</v>
      </c>
      <c r="K98" s="740">
        <v>0</v>
      </c>
      <c r="L98" s="740">
        <f t="shared" ref="L98:Q98" si="32">+K107</f>
        <v>-1.076951684841454E-3</v>
      </c>
      <c r="M98" s="740">
        <f t="shared" si="32"/>
        <v>3.4141401359445656E-2</v>
      </c>
      <c r="N98" s="740">
        <f t="shared" si="32"/>
        <v>0.14726350214666617</v>
      </c>
      <c r="O98" s="740">
        <f t="shared" si="32"/>
        <v>3.4141315490638924E-2</v>
      </c>
      <c r="P98" s="740">
        <f t="shared" si="32"/>
        <v>3.4141436111608137E-2</v>
      </c>
      <c r="Q98" s="740">
        <f t="shared" si="32"/>
        <v>3.4141434260782422E-2</v>
      </c>
      <c r="R98" s="740">
        <v>0</v>
      </c>
    </row>
    <row r="99" spans="2:18">
      <c r="B99" s="750"/>
      <c r="C99" s="751"/>
      <c r="D99" s="728"/>
      <c r="E99" s="728"/>
      <c r="F99" s="740"/>
      <c r="G99" s="740"/>
      <c r="H99" s="740"/>
      <c r="I99" s="740"/>
      <c r="J99" s="740"/>
      <c r="K99" s="740"/>
      <c r="L99" s="740"/>
      <c r="M99" s="740"/>
      <c r="N99" s="740"/>
      <c r="O99" s="740"/>
      <c r="P99" s="740"/>
      <c r="Q99" s="740"/>
      <c r="R99" s="740"/>
    </row>
    <row r="100" spans="2:18">
      <c r="B100" s="748" t="s">
        <v>33</v>
      </c>
      <c r="C100" s="749" t="s">
        <v>145</v>
      </c>
      <c r="D100" s="728" t="s">
        <v>2052</v>
      </c>
      <c r="E100" s="728"/>
      <c r="F100" s="740">
        <f t="shared" ref="F100:Q100" si="33">+F87</f>
        <v>1.5829268583529492</v>
      </c>
      <c r="G100" s="740">
        <f t="shared" si="33"/>
        <v>2.5088664021248435</v>
      </c>
      <c r="H100" s="740">
        <f t="shared" si="33"/>
        <v>2.8693463333838762</v>
      </c>
      <c r="I100" s="740">
        <f t="shared" si="33"/>
        <v>3.5183564211963154</v>
      </c>
      <c r="J100" s="740">
        <f t="shared" si="33"/>
        <v>2.7918615937866731</v>
      </c>
      <c r="K100" s="740">
        <f t="shared" si="33"/>
        <v>2.8677090923151587</v>
      </c>
      <c r="L100" s="740">
        <f t="shared" si="33"/>
        <v>3.0633648020442874</v>
      </c>
      <c r="M100" s="740">
        <f t="shared" si="33"/>
        <v>2.7933357447872202</v>
      </c>
      <c r="N100" s="740">
        <f t="shared" si="33"/>
        <v>2.4261861593439726</v>
      </c>
      <c r="O100" s="740">
        <f t="shared" si="33"/>
        <v>2.5816982206209689</v>
      </c>
      <c r="P100" s="740">
        <f t="shared" si="33"/>
        <v>2.5237740981491745</v>
      </c>
      <c r="Q100" s="740">
        <f t="shared" si="33"/>
        <v>2.9691113664020476</v>
      </c>
      <c r="R100" s="740">
        <f t="shared" ref="R100" si="34">SUM(F100:Q100)</f>
        <v>32.496537092507488</v>
      </c>
    </row>
    <row r="101" spans="2:18">
      <c r="B101" s="750"/>
      <c r="C101" s="751"/>
      <c r="D101" s="728"/>
      <c r="E101" s="728"/>
      <c r="F101" s="740"/>
      <c r="G101" s="740"/>
      <c r="H101" s="740"/>
      <c r="I101" s="740"/>
      <c r="J101" s="740"/>
      <c r="K101" s="740"/>
      <c r="L101" s="740"/>
      <c r="M101" s="740"/>
      <c r="N101" s="740"/>
      <c r="O101" s="740"/>
      <c r="P101" s="740"/>
      <c r="Q101" s="740"/>
      <c r="R101" s="740"/>
    </row>
    <row r="102" spans="2:18">
      <c r="B102" s="748" t="s">
        <v>39</v>
      </c>
      <c r="C102" s="749" t="s">
        <v>2053</v>
      </c>
      <c r="D102" s="728"/>
      <c r="E102" s="728"/>
      <c r="F102" s="740"/>
      <c r="G102" s="740"/>
      <c r="H102" s="740"/>
      <c r="I102" s="740"/>
      <c r="J102" s="740"/>
      <c r="K102" s="740"/>
      <c r="L102" s="740"/>
      <c r="M102" s="740"/>
      <c r="N102" s="740"/>
      <c r="O102" s="740"/>
      <c r="P102" s="740"/>
      <c r="Q102" s="740"/>
      <c r="R102" s="740"/>
    </row>
    <row r="103" spans="2:18">
      <c r="B103" s="750" t="s">
        <v>82</v>
      </c>
      <c r="C103" s="751" t="s">
        <v>2054</v>
      </c>
      <c r="D103" s="728" t="s">
        <v>2052</v>
      </c>
      <c r="E103" s="728"/>
      <c r="F103" s="740">
        <f t="shared" ref="F103:R103" si="35">F93</f>
        <v>1.582926858</v>
      </c>
      <c r="G103" s="740">
        <f t="shared" si="35"/>
        <v>2.5088664019999998</v>
      </c>
      <c r="H103" s="740">
        <f t="shared" si="35"/>
        <v>2.8693458999999999</v>
      </c>
      <c r="I103" s="740">
        <f t="shared" si="35"/>
        <v>3.5621187459999999</v>
      </c>
      <c r="J103" s="740">
        <f t="shared" si="35"/>
        <v>2.7822410460000002</v>
      </c>
      <c r="K103" s="740">
        <f t="shared" si="35"/>
        <v>2.8687860440000001</v>
      </c>
      <c r="L103" s="740">
        <f t="shared" si="35"/>
        <v>3.0281464490000003</v>
      </c>
      <c r="M103" s="740">
        <f t="shared" si="35"/>
        <v>2.6802136439999997</v>
      </c>
      <c r="N103" s="740">
        <f t="shared" si="35"/>
        <v>2.5393083459999999</v>
      </c>
      <c r="O103" s="740">
        <f t="shared" si="35"/>
        <v>2.5816980999999997</v>
      </c>
      <c r="P103" s="740">
        <f t="shared" si="35"/>
        <v>2.5237741000000002</v>
      </c>
      <c r="Q103" s="740">
        <f t="shared" si="35"/>
        <v>3.0060137</v>
      </c>
      <c r="R103" s="740">
        <f t="shared" si="35"/>
        <v>32.533439334999997</v>
      </c>
    </row>
    <row r="104" spans="2:18" ht="26.25">
      <c r="B104" s="750" t="s">
        <v>83</v>
      </c>
      <c r="C104" s="751" t="s">
        <v>2055</v>
      </c>
      <c r="D104" s="728" t="s">
        <v>2052</v>
      </c>
      <c r="E104" s="728"/>
      <c r="F104" s="740"/>
      <c r="G104" s="740"/>
      <c r="H104" s="740"/>
      <c r="I104" s="740"/>
      <c r="J104" s="740"/>
      <c r="K104" s="740"/>
      <c r="L104" s="740"/>
      <c r="M104" s="740"/>
      <c r="N104" s="740"/>
      <c r="O104" s="740"/>
      <c r="P104" s="740"/>
      <c r="Q104" s="740"/>
      <c r="R104" s="740"/>
    </row>
    <row r="105" spans="2:18">
      <c r="B105" s="750"/>
      <c r="C105" s="751" t="s">
        <v>18</v>
      </c>
      <c r="D105" s="728" t="s">
        <v>2052</v>
      </c>
      <c r="E105" s="736"/>
      <c r="F105" s="745">
        <f t="shared" ref="F105:R105" si="36">+F103+F104</f>
        <v>1.582926858</v>
      </c>
      <c r="G105" s="745">
        <f t="shared" si="36"/>
        <v>2.5088664019999998</v>
      </c>
      <c r="H105" s="745">
        <f t="shared" si="36"/>
        <v>2.8693458999999999</v>
      </c>
      <c r="I105" s="745">
        <f t="shared" si="36"/>
        <v>3.5621187459999999</v>
      </c>
      <c r="J105" s="745">
        <f t="shared" si="36"/>
        <v>2.7822410460000002</v>
      </c>
      <c r="K105" s="745">
        <f t="shared" si="36"/>
        <v>2.8687860440000001</v>
      </c>
      <c r="L105" s="745">
        <f t="shared" si="36"/>
        <v>3.0281464490000003</v>
      </c>
      <c r="M105" s="745">
        <f t="shared" si="36"/>
        <v>2.6802136439999997</v>
      </c>
      <c r="N105" s="745">
        <f t="shared" si="36"/>
        <v>2.5393083459999999</v>
      </c>
      <c r="O105" s="745">
        <f t="shared" si="36"/>
        <v>2.5816980999999997</v>
      </c>
      <c r="P105" s="745">
        <f t="shared" si="36"/>
        <v>2.5237741000000002</v>
      </c>
      <c r="Q105" s="745">
        <f t="shared" si="36"/>
        <v>3.0060137</v>
      </c>
      <c r="R105" s="745">
        <f t="shared" si="36"/>
        <v>32.533439334999997</v>
      </c>
    </row>
    <row r="106" spans="2:18">
      <c r="B106" s="750"/>
      <c r="C106" s="751" t="s">
        <v>2056</v>
      </c>
      <c r="D106" s="728" t="s">
        <v>35</v>
      </c>
      <c r="E106" s="728"/>
      <c r="F106" s="737">
        <f>IFERROR(+F105/F100,0)</f>
        <v>0.99999999977702747</v>
      </c>
      <c r="G106" s="737">
        <f t="shared" ref="G106:R106" si="37">IFERROR(+G105/G100,0)</f>
        <v>0.99999999995023903</v>
      </c>
      <c r="H106" s="737">
        <f t="shared" si="37"/>
        <v>0.99999984896076455</v>
      </c>
      <c r="I106" s="737">
        <f t="shared" si="37"/>
        <v>1.0124382863941921</v>
      </c>
      <c r="J106" s="737">
        <f t="shared" si="37"/>
        <v>0.99655407423918019</v>
      </c>
      <c r="K106" s="737">
        <f t="shared" si="37"/>
        <v>1.0003755442585607</v>
      </c>
      <c r="L106" s="737">
        <f t="shared" si="37"/>
        <v>0.98850337608475991</v>
      </c>
      <c r="M106" s="737">
        <f t="shared" si="37"/>
        <v>0.95950286284120223</v>
      </c>
      <c r="N106" s="737">
        <f>IFERROR(+N105/N100,0)</f>
        <v>1.0466255180874557</v>
      </c>
      <c r="O106" s="737">
        <f t="shared" si="37"/>
        <v>0.9999999532784396</v>
      </c>
      <c r="P106" s="737">
        <f t="shared" si="37"/>
        <v>1.0000000007333563</v>
      </c>
      <c r="Q106" s="737">
        <f t="shared" si="37"/>
        <v>1.012428746868687</v>
      </c>
      <c r="R106" s="737">
        <f t="shared" si="37"/>
        <v>1.0011355746117643</v>
      </c>
    </row>
    <row r="107" spans="2:18" ht="39.4">
      <c r="B107" s="748" t="s">
        <v>40</v>
      </c>
      <c r="C107" s="749" t="s">
        <v>146</v>
      </c>
      <c r="D107" s="728" t="s">
        <v>2052</v>
      </c>
      <c r="E107" s="728"/>
      <c r="F107" s="730">
        <f>+F98+F100-F105</f>
        <v>3.5294922540174412E-10</v>
      </c>
      <c r="G107" s="730">
        <f>+G98+G100-G105</f>
        <v>1.2484369094067915E-10</v>
      </c>
      <c r="H107" s="730">
        <f t="shared" ref="H107:R107" si="38">+H98+H100-H105</f>
        <v>4.3338387634150877E-7</v>
      </c>
      <c r="I107" s="730">
        <f t="shared" si="38"/>
        <v>-4.3762324803684471E-2</v>
      </c>
      <c r="J107" s="730">
        <f t="shared" si="38"/>
        <v>9.6205477866728728E-3</v>
      </c>
      <c r="K107" s="730">
        <f t="shared" si="38"/>
        <v>-1.076951684841454E-3</v>
      </c>
      <c r="L107" s="730">
        <f t="shared" si="38"/>
        <v>3.4141401359445656E-2</v>
      </c>
      <c r="M107" s="730">
        <f t="shared" si="38"/>
        <v>0.14726350214666617</v>
      </c>
      <c r="N107" s="730">
        <f t="shared" si="38"/>
        <v>3.4141315490638924E-2</v>
      </c>
      <c r="O107" s="730">
        <f t="shared" si="38"/>
        <v>3.4141436111608137E-2</v>
      </c>
      <c r="P107" s="730">
        <f t="shared" si="38"/>
        <v>3.4141434260782422E-2</v>
      </c>
      <c r="Q107" s="730">
        <f t="shared" si="38"/>
        <v>-2.760899337169942E-3</v>
      </c>
      <c r="R107" s="730">
        <f t="shared" si="38"/>
        <v>-3.6902242492509174E-2</v>
      </c>
    </row>
    <row r="108" spans="2:18">
      <c r="B108" s="752"/>
      <c r="C108" s="753"/>
      <c r="F108" s="738"/>
      <c r="G108" s="738"/>
      <c r="H108" s="738"/>
      <c r="I108" s="738"/>
      <c r="J108" s="738"/>
      <c r="K108" s="738"/>
      <c r="L108" s="738"/>
      <c r="M108" s="738"/>
      <c r="N108" s="738"/>
      <c r="O108" s="738"/>
      <c r="P108" s="738"/>
      <c r="Q108" s="738"/>
      <c r="R108" s="738"/>
    </row>
    <row r="109" spans="2:18">
      <c r="B109" s="752"/>
      <c r="C109" s="753"/>
      <c r="F109" s="738">
        <f>+F93-F105</f>
        <v>0</v>
      </c>
      <c r="G109" s="738">
        <f t="shared" ref="G109:R109" si="39">+G93-G105</f>
        <v>0</v>
      </c>
      <c r="H109" s="738">
        <f t="shared" si="39"/>
        <v>0</v>
      </c>
      <c r="I109" s="738">
        <f t="shared" si="39"/>
        <v>0</v>
      </c>
      <c r="J109" s="738">
        <f t="shared" si="39"/>
        <v>0</v>
      </c>
      <c r="K109" s="738">
        <f t="shared" si="39"/>
        <v>0</v>
      </c>
      <c r="L109" s="738">
        <f t="shared" si="39"/>
        <v>0</v>
      </c>
      <c r="M109" s="738">
        <f t="shared" si="39"/>
        <v>0</v>
      </c>
      <c r="N109" s="738">
        <f t="shared" si="39"/>
        <v>0</v>
      </c>
      <c r="O109" s="738">
        <f t="shared" si="39"/>
        <v>0</v>
      </c>
      <c r="P109" s="738">
        <f t="shared" si="39"/>
        <v>0</v>
      </c>
      <c r="Q109" s="738">
        <f t="shared" si="39"/>
        <v>0</v>
      </c>
      <c r="R109" s="738">
        <f t="shared" si="39"/>
        <v>0</v>
      </c>
    </row>
    <row r="110" spans="2:18">
      <c r="B110" s="728" t="s">
        <v>32</v>
      </c>
      <c r="C110" s="729" t="s">
        <v>326</v>
      </c>
      <c r="D110" s="729" t="s">
        <v>198</v>
      </c>
      <c r="E110" s="729"/>
      <c r="F110" s="754">
        <f t="shared" ref="F110:Q110" si="40">+F27</f>
        <v>1.77822192</v>
      </c>
      <c r="G110" s="754">
        <f t="shared" si="40"/>
        <v>2.5977362081288198</v>
      </c>
      <c r="H110" s="754">
        <f t="shared" si="40"/>
        <v>2.8685561344472195</v>
      </c>
      <c r="I110" s="754">
        <f t="shared" si="40"/>
        <v>3.1711216435616798</v>
      </c>
      <c r="J110" s="754">
        <f t="shared" si="40"/>
        <v>3.1927940000000001</v>
      </c>
      <c r="K110" s="754">
        <f t="shared" si="40"/>
        <v>3.2789999999999981</v>
      </c>
      <c r="L110" s="754">
        <f t="shared" si="40"/>
        <v>3.4455000000000044</v>
      </c>
      <c r="M110" s="754">
        <f t="shared" si="40"/>
        <v>3.3532000000000024</v>
      </c>
      <c r="N110" s="754">
        <f t="shared" si="40"/>
        <v>3.3419000000000016</v>
      </c>
      <c r="O110" s="754">
        <f t="shared" si="40"/>
        <v>3.3307000000000024</v>
      </c>
      <c r="P110" s="754">
        <f t="shared" si="40"/>
        <v>3.2889104700000003</v>
      </c>
      <c r="Q110" s="754">
        <f t="shared" si="40"/>
        <v>3.8923999999999999</v>
      </c>
      <c r="R110" s="754">
        <f>SUM(F110:Q110)</f>
        <v>37.540040376137732</v>
      </c>
    </row>
    <row r="111" spans="2:18">
      <c r="B111" s="728" t="s">
        <v>33</v>
      </c>
      <c r="C111" s="729" t="s">
        <v>200</v>
      </c>
      <c r="D111" s="729" t="s">
        <v>35</v>
      </c>
      <c r="E111" s="729" t="s">
        <v>2058</v>
      </c>
      <c r="F111" s="755">
        <f t="shared" ref="F111:R111" si="41">IFERROR(+F112/F113,0)</f>
        <v>2.6635121173073442E-2</v>
      </c>
      <c r="G111" s="755">
        <f t="shared" si="41"/>
        <v>4.2354930672429097E-2</v>
      </c>
      <c r="H111" s="755">
        <f t="shared" si="41"/>
        <v>2.5003136363591309E-2</v>
      </c>
      <c r="I111" s="755">
        <f t="shared" si="41"/>
        <v>2.451032402497379E-2</v>
      </c>
      <c r="J111" s="755">
        <f t="shared" si="41"/>
        <v>2.1309475179104087E-2</v>
      </c>
      <c r="K111" s="755">
        <f t="shared" si="41"/>
        <v>1.0842326493056694E-2</v>
      </c>
      <c r="L111" s="755">
        <f t="shared" si="41"/>
        <v>1.2123955687001689E-2</v>
      </c>
      <c r="M111" s="755">
        <f t="shared" si="41"/>
        <v>1.463506134387709E-2</v>
      </c>
      <c r="N111" s="755">
        <f t="shared" si="41"/>
        <v>1.5308840445793321E-2</v>
      </c>
      <c r="O111" s="755">
        <f t="shared" si="41"/>
        <v>1.6458589696764156E-2</v>
      </c>
      <c r="P111" s="755">
        <f t="shared" si="41"/>
        <v>1.3286206391703276E-2</v>
      </c>
      <c r="Q111" s="755">
        <f t="shared" si="41"/>
        <v>1.2081218274111698E-2</v>
      </c>
      <c r="R111" s="755">
        <f t="shared" si="41"/>
        <v>1.866261780636257E-2</v>
      </c>
    </row>
    <row r="112" spans="2:18">
      <c r="B112" s="728" t="s">
        <v>511</v>
      </c>
      <c r="C112" s="756" t="s">
        <v>510</v>
      </c>
      <c r="D112" s="729" t="s">
        <v>198</v>
      </c>
      <c r="E112" s="729" t="s">
        <v>2059</v>
      </c>
      <c r="F112" s="757">
        <f t="shared" ref="F112:Q112" si="42">+F113-F110</f>
        <v>4.8659200000000125E-2</v>
      </c>
      <c r="G112" s="757">
        <f t="shared" si="42"/>
        <v>0.1148932318711906</v>
      </c>
      <c r="H112" s="757">
        <f t="shared" si="42"/>
        <v>7.3562185552780157E-2</v>
      </c>
      <c r="I112" s="757">
        <f t="shared" si="42"/>
        <v>7.9678156438319991E-2</v>
      </c>
      <c r="J112" s="757">
        <f t="shared" si="42"/>
        <v>6.9518160000009654E-2</v>
      </c>
      <c r="K112" s="757">
        <f t="shared" si="42"/>
        <v>3.5941680000001863E-2</v>
      </c>
      <c r="L112" s="757">
        <f t="shared" si="42"/>
        <v>4.2285759999995509E-2</v>
      </c>
      <c r="M112" s="757">
        <f t="shared" si="42"/>
        <v>4.9803160000007729E-2</v>
      </c>
      <c r="N112" s="757">
        <f t="shared" si="42"/>
        <v>5.1955999999998337E-2</v>
      </c>
      <c r="O112" s="757">
        <f t="shared" si="42"/>
        <v>5.57359600000078E-2</v>
      </c>
      <c r="P112" s="757">
        <f t="shared" si="42"/>
        <v>4.4285529999999795E-2</v>
      </c>
      <c r="Q112" s="757">
        <f t="shared" si="42"/>
        <v>4.7600000000000087E-2</v>
      </c>
      <c r="R112" s="757">
        <f>SUM(F112:Q112)</f>
        <v>0.71391902386231165</v>
      </c>
    </row>
    <row r="113" spans="2:18" ht="26.25">
      <c r="B113" s="728" t="s">
        <v>513</v>
      </c>
      <c r="C113" s="756" t="s">
        <v>514</v>
      </c>
      <c r="D113" s="729" t="s">
        <v>198</v>
      </c>
      <c r="E113" s="729"/>
      <c r="F113" s="758">
        <f>1826881.12/10^6</f>
        <v>1.8268811200000001</v>
      </c>
      <c r="G113" s="758">
        <f>2712629.44000001/10^6</f>
        <v>2.7126294400000104</v>
      </c>
      <c r="H113" s="758">
        <f>2942118.32/10^6</f>
        <v>2.9421183199999996</v>
      </c>
      <c r="I113" s="758">
        <f>3250799.8/10^6</f>
        <v>3.2507997999999998</v>
      </c>
      <c r="J113" s="758">
        <f>3262312.16000001/10^6</f>
        <v>3.2623121600000098</v>
      </c>
      <c r="K113" s="758">
        <f>3314941.68/10^6</f>
        <v>3.31494168</v>
      </c>
      <c r="L113" s="758">
        <f>3487785.76/10^6</f>
        <v>3.48778576</v>
      </c>
      <c r="M113" s="758">
        <f>3403003.16000001/10^6</f>
        <v>3.4030031600000101</v>
      </c>
      <c r="N113" s="758">
        <f>3393856/10^6</f>
        <v>3.393856</v>
      </c>
      <c r="O113" s="758">
        <f>3386435.96000001/10^6</f>
        <v>3.3864359600000102</v>
      </c>
      <c r="P113" s="758">
        <f>3333196/10^6</f>
        <v>3.333196</v>
      </c>
      <c r="Q113" s="758">
        <f>3940000/10^6</f>
        <v>3.94</v>
      </c>
      <c r="R113" s="758">
        <f>SUM(F113:Q113)</f>
        <v>38.253959400000042</v>
      </c>
    </row>
    <row r="114" spans="2:18">
      <c r="B114" s="728"/>
      <c r="C114" s="729"/>
      <c r="D114" s="729"/>
      <c r="E114" s="729"/>
      <c r="F114" s="729"/>
      <c r="G114" s="729"/>
      <c r="H114" s="729"/>
      <c r="I114" s="729"/>
      <c r="J114" s="729"/>
      <c r="K114" s="729"/>
      <c r="L114" s="729"/>
      <c r="M114" s="729"/>
      <c r="N114" s="729"/>
      <c r="O114" s="729"/>
      <c r="P114" s="729"/>
      <c r="Q114" s="729"/>
      <c r="R114" s="729"/>
    </row>
    <row r="115" spans="2:18">
      <c r="B115" s="728"/>
      <c r="C115" s="759" t="s">
        <v>515</v>
      </c>
      <c r="D115" s="729"/>
      <c r="E115" s="729"/>
      <c r="F115" s="729"/>
      <c r="G115" s="729"/>
      <c r="H115" s="729"/>
      <c r="I115" s="729"/>
      <c r="J115" s="729"/>
      <c r="K115" s="729"/>
      <c r="L115" s="729"/>
      <c r="M115" s="729"/>
      <c r="N115" s="729"/>
      <c r="O115" s="729"/>
      <c r="P115" s="729"/>
      <c r="Q115" s="729"/>
      <c r="R115" s="729"/>
    </row>
    <row r="116" spans="2:18">
      <c r="B116" s="728" t="s">
        <v>41</v>
      </c>
      <c r="C116" s="756" t="s">
        <v>200</v>
      </c>
      <c r="D116" s="729" t="s">
        <v>35</v>
      </c>
      <c r="E116" s="729"/>
      <c r="F116" s="760">
        <v>3.1800000000000002E-2</v>
      </c>
      <c r="G116" s="760">
        <v>3.1800000000000002E-2</v>
      </c>
      <c r="H116" s="760">
        <v>3.1800000000000002E-2</v>
      </c>
      <c r="I116" s="760">
        <v>3.1800000000000002E-2</v>
      </c>
      <c r="J116" s="760">
        <v>3.1800000000000002E-2</v>
      </c>
      <c r="K116" s="760">
        <v>3.1800000000000002E-2</v>
      </c>
      <c r="L116" s="760">
        <v>3.1800000000000002E-2</v>
      </c>
      <c r="M116" s="760">
        <v>3.1800000000000002E-2</v>
      </c>
      <c r="N116" s="760">
        <v>3.1800000000000002E-2</v>
      </c>
      <c r="O116" s="760">
        <v>3.1800000000000002E-2</v>
      </c>
      <c r="P116" s="760">
        <v>3.1800000000000002E-2</v>
      </c>
      <c r="Q116" s="760">
        <v>3.1800000000000002E-2</v>
      </c>
      <c r="R116" s="755">
        <f>IFERROR(+R117/R118,0)</f>
        <v>3.180000000000005E-2</v>
      </c>
    </row>
    <row r="117" spans="2:18">
      <c r="B117" s="728" t="s">
        <v>42</v>
      </c>
      <c r="C117" s="729" t="s">
        <v>2061</v>
      </c>
      <c r="D117" s="729" t="s">
        <v>198</v>
      </c>
      <c r="E117" s="729" t="s">
        <v>598</v>
      </c>
      <c r="F117" s="757">
        <f>+F118-F113</f>
        <v>6.0002912224746963E-2</v>
      </c>
      <c r="G117" s="757">
        <f t="shared" ref="G117:Q117" si="43">+G118-G113</f>
        <v>8.9094831844660494E-2</v>
      </c>
      <c r="H117" s="757">
        <f t="shared" si="43"/>
        <v>9.6632268721338566E-2</v>
      </c>
      <c r="I117" s="757">
        <f t="shared" si="43"/>
        <v>0.10677074327618286</v>
      </c>
      <c r="J117" s="757">
        <f t="shared" si="43"/>
        <v>0.10714886045032079</v>
      </c>
      <c r="K117" s="757">
        <f t="shared" si="43"/>
        <v>0.10887744827928136</v>
      </c>
      <c r="L117" s="757">
        <f t="shared" si="43"/>
        <v>0.11455441764924634</v>
      </c>
      <c r="M117" s="757">
        <f t="shared" si="43"/>
        <v>0.11176977947531563</v>
      </c>
      <c r="N117" s="757">
        <f t="shared" si="43"/>
        <v>0.11146934600289216</v>
      </c>
      <c r="O117" s="757">
        <f t="shared" si="43"/>
        <v>0.1112256388432149</v>
      </c>
      <c r="P117" s="757">
        <f t="shared" si="43"/>
        <v>0.10947700144598249</v>
      </c>
      <c r="Q117" s="757">
        <f t="shared" si="43"/>
        <v>0.12940714728361913</v>
      </c>
      <c r="R117" s="757">
        <f>SUM(F117:Q117)</f>
        <v>1.2564303954968017</v>
      </c>
    </row>
    <row r="118" spans="2:18" ht="26.25">
      <c r="B118" s="728" t="s">
        <v>516</v>
      </c>
      <c r="C118" s="729" t="s">
        <v>517</v>
      </c>
      <c r="D118" s="729" t="s">
        <v>198</v>
      </c>
      <c r="E118" s="729" t="s">
        <v>523</v>
      </c>
      <c r="F118" s="761">
        <f>+(F113/(1-F116))</f>
        <v>1.8868840322247471</v>
      </c>
      <c r="G118" s="761">
        <f t="shared" ref="G118:Q118" si="44">+(G113/(1-G116))</f>
        <v>2.8017242718446709</v>
      </c>
      <c r="H118" s="761">
        <f t="shared" si="44"/>
        <v>3.0387505887213382</v>
      </c>
      <c r="I118" s="761">
        <f t="shared" si="44"/>
        <v>3.3575705432761827</v>
      </c>
      <c r="J118" s="761">
        <f t="shared" si="44"/>
        <v>3.3694610204503306</v>
      </c>
      <c r="K118" s="761">
        <f t="shared" si="44"/>
        <v>3.4238191282792814</v>
      </c>
      <c r="L118" s="761">
        <f t="shared" si="44"/>
        <v>3.6023401776492463</v>
      </c>
      <c r="M118" s="761">
        <f t="shared" si="44"/>
        <v>3.5147729394753258</v>
      </c>
      <c r="N118" s="761">
        <f t="shared" si="44"/>
        <v>3.5053253460028921</v>
      </c>
      <c r="O118" s="761">
        <f t="shared" si="44"/>
        <v>3.4976615988432251</v>
      </c>
      <c r="P118" s="761">
        <f t="shared" si="44"/>
        <v>3.4426730014459825</v>
      </c>
      <c r="Q118" s="761">
        <f t="shared" si="44"/>
        <v>4.0694071472836191</v>
      </c>
      <c r="R118" s="758">
        <f>SUM(F118:Q118)</f>
        <v>39.510389795496842</v>
      </c>
    </row>
    <row r="119" spans="2:18" ht="39.4">
      <c r="B119" s="728" t="s">
        <v>518</v>
      </c>
      <c r="C119" s="729" t="s">
        <v>599</v>
      </c>
      <c r="D119" s="729" t="s">
        <v>198</v>
      </c>
      <c r="E119" s="729"/>
      <c r="F119" s="754">
        <f>+[1]PP!F167</f>
        <v>0</v>
      </c>
      <c r="G119" s="754">
        <f>+[1]PP!G167</f>
        <v>0</v>
      </c>
      <c r="H119" s="754">
        <f>+[1]PP!H167</f>
        <v>0</v>
      </c>
      <c r="I119" s="754">
        <f>+[1]PP!I167</f>
        <v>0</v>
      </c>
      <c r="J119" s="754">
        <f>+[1]PP!J167</f>
        <v>0</v>
      </c>
      <c r="K119" s="754">
        <f>+[1]PP!K167</f>
        <v>0</v>
      </c>
      <c r="L119" s="754">
        <f>+[1]PP!L167</f>
        <v>0</v>
      </c>
      <c r="M119" s="754">
        <f>+[1]PP!M167</f>
        <v>0</v>
      </c>
      <c r="N119" s="754">
        <f>+[1]PP!N167</f>
        <v>0</v>
      </c>
      <c r="O119" s="754">
        <f>+[1]PP!O167</f>
        <v>0</v>
      </c>
      <c r="P119" s="754">
        <f>+[1]PP!P167</f>
        <v>0</v>
      </c>
      <c r="Q119" s="754">
        <f>+[1]PP!Q167</f>
        <v>0</v>
      </c>
      <c r="R119" s="754">
        <f t="shared" ref="R119:R123" si="45">SUM(F119:Q119)</f>
        <v>0</v>
      </c>
    </row>
    <row r="120" spans="2:18" ht="39.4">
      <c r="B120" s="728" t="s">
        <v>92</v>
      </c>
      <c r="C120" s="729" t="s">
        <v>519</v>
      </c>
      <c r="D120" s="729" t="s">
        <v>198</v>
      </c>
      <c r="E120" s="729"/>
      <c r="F120" s="754">
        <f>+[1]PP!F149</f>
        <v>0</v>
      </c>
      <c r="G120" s="754">
        <f>+[1]PP!G149</f>
        <v>0</v>
      </c>
      <c r="H120" s="754">
        <f>+[1]PP!H149</f>
        <v>0</v>
      </c>
      <c r="I120" s="754">
        <f>+[1]PP!I149</f>
        <v>0</v>
      </c>
      <c r="J120" s="754">
        <f>+[1]PP!J149</f>
        <v>0</v>
      </c>
      <c r="K120" s="754">
        <f>+[1]PP!K149</f>
        <v>0</v>
      </c>
      <c r="L120" s="754">
        <f>+[1]PP!L149</f>
        <v>0</v>
      </c>
      <c r="M120" s="754">
        <f>+[1]PP!M149</f>
        <v>0</v>
      </c>
      <c r="N120" s="754">
        <f>+[1]PP!N149</f>
        <v>0</v>
      </c>
      <c r="O120" s="754">
        <f>+[1]PP!O149</f>
        <v>0</v>
      </c>
      <c r="P120" s="754">
        <f>+[1]PP!P149</f>
        <v>0</v>
      </c>
      <c r="Q120" s="754">
        <f>+[1]PP!Q149</f>
        <v>0</v>
      </c>
      <c r="R120" s="754">
        <f t="shared" si="45"/>
        <v>0</v>
      </c>
    </row>
    <row r="121" spans="2:18">
      <c r="B121" s="728" t="s">
        <v>155</v>
      </c>
      <c r="C121" s="729" t="s">
        <v>520</v>
      </c>
      <c r="D121" s="729" t="s">
        <v>35</v>
      </c>
      <c r="E121" s="729"/>
      <c r="F121" s="762">
        <f>IFERROR(1-(F118-F119)/F120,0)</f>
        <v>0</v>
      </c>
      <c r="G121" s="762">
        <f t="shared" ref="G121:R121" si="46">IFERROR(1-(G118-G119)/G120,0)</f>
        <v>0</v>
      </c>
      <c r="H121" s="762">
        <f t="shared" si="46"/>
        <v>0</v>
      </c>
      <c r="I121" s="762">
        <f t="shared" si="46"/>
        <v>0</v>
      </c>
      <c r="J121" s="762">
        <f t="shared" si="46"/>
        <v>0</v>
      </c>
      <c r="K121" s="762">
        <f t="shared" si="46"/>
        <v>0</v>
      </c>
      <c r="L121" s="762">
        <f t="shared" si="46"/>
        <v>0</v>
      </c>
      <c r="M121" s="762">
        <f t="shared" si="46"/>
        <v>0</v>
      </c>
      <c r="N121" s="762">
        <f t="shared" si="46"/>
        <v>0</v>
      </c>
      <c r="O121" s="762">
        <f t="shared" si="46"/>
        <v>0</v>
      </c>
      <c r="P121" s="762">
        <f t="shared" si="46"/>
        <v>0</v>
      </c>
      <c r="Q121" s="762">
        <f t="shared" si="46"/>
        <v>0</v>
      </c>
      <c r="R121" s="762">
        <f t="shared" si="46"/>
        <v>0</v>
      </c>
    </row>
    <row r="122" spans="2:18" ht="52.5">
      <c r="B122" s="728" t="s">
        <v>316</v>
      </c>
      <c r="C122" s="729" t="s">
        <v>521</v>
      </c>
      <c r="D122" s="729" t="s">
        <v>198</v>
      </c>
      <c r="E122" s="729" t="s">
        <v>524</v>
      </c>
      <c r="F122" s="763">
        <f>F120*(1-F121)</f>
        <v>0</v>
      </c>
      <c r="G122" s="763">
        <f t="shared" ref="G122:Q122" si="47">G120*(1-G121)</f>
        <v>0</v>
      </c>
      <c r="H122" s="763">
        <f t="shared" si="47"/>
        <v>0</v>
      </c>
      <c r="I122" s="763">
        <f t="shared" si="47"/>
        <v>0</v>
      </c>
      <c r="J122" s="763">
        <f t="shared" si="47"/>
        <v>0</v>
      </c>
      <c r="K122" s="763">
        <f t="shared" si="47"/>
        <v>0</v>
      </c>
      <c r="L122" s="763">
        <f t="shared" si="47"/>
        <v>0</v>
      </c>
      <c r="M122" s="763">
        <f t="shared" si="47"/>
        <v>0</v>
      </c>
      <c r="N122" s="763">
        <f t="shared" si="47"/>
        <v>0</v>
      </c>
      <c r="O122" s="763">
        <f t="shared" si="47"/>
        <v>0</v>
      </c>
      <c r="P122" s="763">
        <f t="shared" si="47"/>
        <v>0</v>
      </c>
      <c r="Q122" s="763">
        <f t="shared" si="47"/>
        <v>0</v>
      </c>
      <c r="R122" s="754">
        <f t="shared" si="45"/>
        <v>0</v>
      </c>
    </row>
    <row r="123" spans="2:18" ht="26.25">
      <c r="B123" s="728" t="s">
        <v>317</v>
      </c>
      <c r="C123" s="729" t="s">
        <v>600</v>
      </c>
      <c r="D123" s="729" t="s">
        <v>198</v>
      </c>
      <c r="E123" s="729" t="s">
        <v>2060</v>
      </c>
      <c r="F123" s="763">
        <f>+F122+F119</f>
        <v>0</v>
      </c>
      <c r="G123" s="763">
        <f t="shared" ref="G123:Q123" si="48">+G122+G119</f>
        <v>0</v>
      </c>
      <c r="H123" s="763">
        <f t="shared" si="48"/>
        <v>0</v>
      </c>
      <c r="I123" s="763">
        <f t="shared" si="48"/>
        <v>0</v>
      </c>
      <c r="J123" s="763">
        <f t="shared" si="48"/>
        <v>0</v>
      </c>
      <c r="K123" s="763">
        <f t="shared" si="48"/>
        <v>0</v>
      </c>
      <c r="L123" s="763">
        <f t="shared" si="48"/>
        <v>0</v>
      </c>
      <c r="M123" s="763">
        <f t="shared" si="48"/>
        <v>0</v>
      </c>
      <c r="N123" s="763">
        <f t="shared" si="48"/>
        <v>0</v>
      </c>
      <c r="O123" s="763">
        <f t="shared" si="48"/>
        <v>0</v>
      </c>
      <c r="P123" s="763">
        <f t="shared" si="48"/>
        <v>0</v>
      </c>
      <c r="Q123" s="763">
        <f t="shared" si="48"/>
        <v>0</v>
      </c>
      <c r="R123" s="754">
        <f t="shared" si="45"/>
        <v>0</v>
      </c>
    </row>
  </sheetData>
  <mergeCells count="27">
    <mergeCell ref="F97:R97"/>
    <mergeCell ref="F70:R70"/>
    <mergeCell ref="F82:R82"/>
    <mergeCell ref="F88:R88"/>
    <mergeCell ref="B95:B96"/>
    <mergeCell ref="C95:C96"/>
    <mergeCell ref="D95:D96"/>
    <mergeCell ref="E95:E96"/>
    <mergeCell ref="F95:R95"/>
    <mergeCell ref="F76:R76"/>
    <mergeCell ref="F40:R40"/>
    <mergeCell ref="F46:R46"/>
    <mergeCell ref="F52:R52"/>
    <mergeCell ref="F58:R58"/>
    <mergeCell ref="F64:R64"/>
    <mergeCell ref="F34:R34"/>
    <mergeCell ref="B1:R1"/>
    <mergeCell ref="B2:B3"/>
    <mergeCell ref="C2:C3"/>
    <mergeCell ref="D2:D3"/>
    <mergeCell ref="E2:E3"/>
    <mergeCell ref="F2:R2"/>
    <mergeCell ref="F4:R4"/>
    <mergeCell ref="F10:R10"/>
    <mergeCell ref="F16:R16"/>
    <mergeCell ref="F22:R22"/>
    <mergeCell ref="F28:R2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00FFFF"/>
  </sheetPr>
  <dimension ref="A1:AA87"/>
  <sheetViews>
    <sheetView showGridLines="0" view="pageBreakPreview" zoomScale="60" zoomScaleNormal="80" workbookViewId="0">
      <selection activeCell="E31" sqref="E31"/>
    </sheetView>
  </sheetViews>
  <sheetFormatPr defaultColWidth="9.19921875" defaultRowHeight="14.25"/>
  <cols>
    <col min="1" max="1" width="3.46484375" style="576" customWidth="1"/>
    <col min="2" max="2" width="33.6640625" style="576" customWidth="1"/>
    <col min="3" max="3" width="9.53125" style="312" customWidth="1"/>
    <col min="4" max="4" width="12.19921875" style="576" customWidth="1"/>
    <col min="5" max="5" width="12.796875" style="576" customWidth="1"/>
    <col min="6" max="6" width="11.46484375" style="576" customWidth="1"/>
    <col min="7" max="7" width="20.19921875" style="576" customWidth="1"/>
    <col min="8" max="8" width="12.796875" style="576" customWidth="1"/>
    <col min="9" max="9" width="11.53125" style="576" customWidth="1"/>
    <col min="10" max="10" width="26" style="576" customWidth="1"/>
    <col min="11" max="13" width="10.796875" style="576" customWidth="1"/>
    <col min="14" max="16384" width="9.19921875" style="576"/>
  </cols>
  <sheetData>
    <row r="1" spans="1:10">
      <c r="A1" s="1631" t="s">
        <v>1254</v>
      </c>
      <c r="B1" s="1631"/>
    </row>
    <row r="2" spans="1:10">
      <c r="A2" s="241" t="str">
        <f>+'BS1'!A2</f>
        <v>NIDP DEVELOPERS PRIVATE LIMITED</v>
      </c>
      <c r="B2" s="241"/>
      <c r="C2" s="241"/>
      <c r="D2" s="241"/>
      <c r="E2" s="241"/>
      <c r="F2" s="241"/>
    </row>
    <row r="3" spans="1:10">
      <c r="A3" s="476" t="s">
        <v>740</v>
      </c>
      <c r="B3" s="476"/>
    </row>
    <row r="4" spans="1:10" ht="57">
      <c r="A4" s="1633" t="s">
        <v>74</v>
      </c>
      <c r="B4" s="1632" t="s">
        <v>746</v>
      </c>
      <c r="C4" s="1594" t="s">
        <v>34</v>
      </c>
      <c r="D4" s="319" t="s">
        <v>717</v>
      </c>
      <c r="E4" s="319" t="s">
        <v>741</v>
      </c>
      <c r="F4" s="319" t="s">
        <v>733</v>
      </c>
      <c r="G4" s="1594" t="s">
        <v>80</v>
      </c>
      <c r="H4" s="319" t="s">
        <v>742</v>
      </c>
      <c r="I4" s="319" t="s">
        <v>735</v>
      </c>
      <c r="J4" s="1594" t="s">
        <v>80</v>
      </c>
    </row>
    <row r="5" spans="1:10">
      <c r="A5" s="1633"/>
      <c r="B5" s="1632"/>
      <c r="C5" s="1594"/>
      <c r="D5" s="1594" t="s">
        <v>722</v>
      </c>
      <c r="E5" s="1594" t="s">
        <v>723</v>
      </c>
      <c r="F5" s="1594" t="s">
        <v>736</v>
      </c>
      <c r="G5" s="1594"/>
      <c r="H5" s="1594" t="s">
        <v>737</v>
      </c>
      <c r="I5" s="1594" t="s">
        <v>743</v>
      </c>
      <c r="J5" s="1594"/>
    </row>
    <row r="6" spans="1:10">
      <c r="A6" s="1633"/>
      <c r="B6" s="1632"/>
      <c r="C6" s="1594"/>
      <c r="D6" s="1594"/>
      <c r="E6" s="1594"/>
      <c r="F6" s="1594"/>
      <c r="G6" s="1594"/>
      <c r="H6" s="1594"/>
      <c r="I6" s="1594"/>
      <c r="J6" s="1594"/>
    </row>
    <row r="7" spans="1:10">
      <c r="A7" s="1634"/>
      <c r="B7" s="1632"/>
      <c r="C7" s="1594"/>
      <c r="D7" s="1594" t="s">
        <v>739</v>
      </c>
      <c r="E7" s="1594"/>
      <c r="F7" s="1594"/>
      <c r="G7" s="1594"/>
      <c r="H7" s="319" t="s">
        <v>739</v>
      </c>
      <c r="I7" s="1594"/>
      <c r="J7" s="1594"/>
    </row>
    <row r="8" spans="1:10" ht="28.5">
      <c r="A8" s="574" t="s">
        <v>11</v>
      </c>
      <c r="B8" s="575" t="s">
        <v>1377</v>
      </c>
      <c r="C8" s="6" t="s">
        <v>198</v>
      </c>
      <c r="D8" s="1639" t="s">
        <v>2062</v>
      </c>
      <c r="E8" s="303">
        <f>+'Energy Balance'!L14</f>
        <v>101.99925199348334</v>
      </c>
      <c r="F8" s="1639" t="s">
        <v>2062</v>
      </c>
      <c r="G8" s="304"/>
      <c r="H8" s="987">
        <f>+'APR Snapshot'!E8</f>
        <v>61.767894443811429</v>
      </c>
      <c r="I8" s="990">
        <f>(E8-H8)/H8</f>
        <v>0.65133121198212907</v>
      </c>
      <c r="J8" s="320"/>
    </row>
    <row r="9" spans="1:10">
      <c r="A9" s="574" t="s">
        <v>12</v>
      </c>
      <c r="B9" s="577" t="s">
        <v>158</v>
      </c>
      <c r="C9" s="6" t="s">
        <v>198</v>
      </c>
      <c r="D9" s="1640"/>
      <c r="E9" s="307">
        <f>+'Energy Balance'!L8</f>
        <v>100.99122120000001</v>
      </c>
      <c r="F9" s="1640"/>
      <c r="G9" s="320"/>
      <c r="H9" s="987">
        <f>+'APR Snapshot'!E9</f>
        <v>61.157459186384557</v>
      </c>
      <c r="I9" s="990">
        <f>(E9-H9)/H9</f>
        <v>0.65133121198212918</v>
      </c>
      <c r="J9" s="320"/>
    </row>
    <row r="10" spans="1:10">
      <c r="A10" s="574" t="s">
        <v>13</v>
      </c>
      <c r="B10" s="577" t="s">
        <v>159</v>
      </c>
      <c r="C10" s="6" t="s">
        <v>35</v>
      </c>
      <c r="D10" s="1640"/>
      <c r="E10" s="970">
        <f>(E8-E9)/E8</f>
        <v>9.882727312036866E-3</v>
      </c>
      <c r="F10" s="1640"/>
      <c r="G10" s="320"/>
      <c r="H10" s="995">
        <f>+'APR Snapshot'!E10</f>
        <v>9.8827273120369683E-3</v>
      </c>
      <c r="I10" s="990">
        <f>(E10-H10)/H10</f>
        <v>-1.0356319854942565E-14</v>
      </c>
      <c r="J10" s="320"/>
    </row>
    <row r="11" spans="1:10">
      <c r="A11" s="574"/>
      <c r="B11" s="578"/>
      <c r="C11" s="6"/>
      <c r="D11" s="1640"/>
      <c r="E11" s="307"/>
      <c r="F11" s="1640"/>
      <c r="G11" s="320"/>
      <c r="H11" s="321"/>
      <c r="I11" s="320"/>
      <c r="J11" s="323"/>
    </row>
    <row r="12" spans="1:10">
      <c r="A12" s="574" t="s">
        <v>85</v>
      </c>
      <c r="B12" s="579" t="s">
        <v>14</v>
      </c>
      <c r="C12" s="6"/>
      <c r="D12" s="1640"/>
      <c r="E12" s="307"/>
      <c r="F12" s="1640"/>
      <c r="G12" s="320"/>
      <c r="H12" s="321"/>
      <c r="I12" s="320"/>
      <c r="J12" s="320"/>
    </row>
    <row r="13" spans="1:10" ht="28.5">
      <c r="A13" s="474" t="s">
        <v>15</v>
      </c>
      <c r="B13" s="477" t="s">
        <v>165</v>
      </c>
      <c r="C13" s="101" t="s">
        <v>744</v>
      </c>
      <c r="D13" s="1640"/>
      <c r="E13" s="307">
        <f>+'ESR3_Curr Tariff'!AO16</f>
        <v>68.189938328665832</v>
      </c>
      <c r="F13" s="1640"/>
      <c r="G13" s="320"/>
      <c r="H13" s="987">
        <f>+'APR Snapshot'!E13</f>
        <v>41.67454256159602</v>
      </c>
      <c r="I13" s="990">
        <f t="shared" ref="I13:I14" si="0">(E13-H13)/H13</f>
        <v>0.63624923363896291</v>
      </c>
      <c r="J13" s="320"/>
    </row>
    <row r="14" spans="1:10">
      <c r="A14" s="580"/>
      <c r="B14" s="581" t="s">
        <v>607</v>
      </c>
      <c r="C14" s="4" t="s">
        <v>744</v>
      </c>
      <c r="D14" s="1640"/>
      <c r="E14" s="973">
        <f>+E13</f>
        <v>68.189938328665832</v>
      </c>
      <c r="F14" s="1640"/>
      <c r="G14" s="320"/>
      <c r="H14" s="305">
        <f>+'APR Snapshot'!E14</f>
        <v>41.67454256159602</v>
      </c>
      <c r="I14" s="296">
        <f t="shared" si="0"/>
        <v>0.63624923363896291</v>
      </c>
      <c r="J14" s="112"/>
    </row>
    <row r="15" spans="1:10">
      <c r="A15" s="474"/>
      <c r="B15" s="583"/>
      <c r="C15" s="6"/>
      <c r="D15" s="1640"/>
      <c r="E15" s="307"/>
      <c r="F15" s="1640"/>
      <c r="G15" s="320"/>
      <c r="H15" s="321"/>
      <c r="I15" s="320"/>
      <c r="J15" s="320"/>
    </row>
    <row r="16" spans="1:10">
      <c r="A16" s="474" t="s">
        <v>33</v>
      </c>
      <c r="B16" s="579" t="s">
        <v>19</v>
      </c>
      <c r="C16" s="6"/>
      <c r="D16" s="1640"/>
      <c r="E16" s="303"/>
      <c r="F16" s="1640"/>
      <c r="G16" s="304"/>
      <c r="H16" s="305"/>
      <c r="I16" s="304"/>
      <c r="J16" s="112"/>
    </row>
    <row r="17" spans="1:13">
      <c r="A17" s="474" t="s">
        <v>15</v>
      </c>
      <c r="B17" s="477" t="s">
        <v>163</v>
      </c>
      <c r="C17" s="6" t="s">
        <v>744</v>
      </c>
      <c r="D17" s="1640"/>
      <c r="E17" s="322">
        <f>+F1_PP_Annual!O706-F1_PP_Annual!O680</f>
        <v>57.484157668761192</v>
      </c>
      <c r="F17" s="1640"/>
      <c r="G17" s="320"/>
      <c r="H17" s="987">
        <f>+'APR Snapshot'!E17</f>
        <v>34.812261549395529</v>
      </c>
      <c r="I17" s="990">
        <f t="shared" ref="I17:I18" si="1">(E17-H17)/H17</f>
        <v>0.65126180001825629</v>
      </c>
      <c r="J17" s="320"/>
      <c r="K17" s="582"/>
      <c r="L17" s="582"/>
      <c r="M17" s="582"/>
    </row>
    <row r="18" spans="1:13">
      <c r="A18" s="474" t="s">
        <v>16</v>
      </c>
      <c r="B18" s="477" t="s">
        <v>164</v>
      </c>
      <c r="C18" s="6" t="s">
        <v>744</v>
      </c>
      <c r="D18" s="1640"/>
      <c r="E18" s="322">
        <f>+F1_PP_Annual!O680</f>
        <v>0.79</v>
      </c>
      <c r="F18" s="1640"/>
      <c r="G18" s="320"/>
      <c r="H18" s="987">
        <f>+'APR Snapshot'!E19</f>
        <v>0.2255316277277421</v>
      </c>
      <c r="I18" s="990">
        <f t="shared" si="1"/>
        <v>2.5028346487778395</v>
      </c>
      <c r="J18" s="320"/>
      <c r="K18" s="582"/>
    </row>
    <row r="19" spans="1:13">
      <c r="A19" s="474" t="s">
        <v>17</v>
      </c>
      <c r="B19" s="477" t="s">
        <v>628</v>
      </c>
      <c r="C19" s="6" t="s">
        <v>744</v>
      </c>
      <c r="D19" s="1640"/>
      <c r="E19" s="322"/>
      <c r="F19" s="1640"/>
      <c r="G19" s="320"/>
      <c r="H19" s="321"/>
      <c r="I19" s="320"/>
      <c r="J19" s="320"/>
    </row>
    <row r="20" spans="1:13">
      <c r="A20" s="474" t="s">
        <v>82</v>
      </c>
      <c r="B20" s="477" t="s">
        <v>1396</v>
      </c>
      <c r="C20" s="6" t="s">
        <v>744</v>
      </c>
      <c r="D20" s="1640"/>
      <c r="E20" s="971">
        <f>+'F22_O&amp;M_R&amp;M'!G14</f>
        <v>1.927316865392424</v>
      </c>
      <c r="F20" s="1640"/>
      <c r="G20" s="296"/>
      <c r="H20" s="987">
        <f>+'APR Snapshot'!E21</f>
        <v>1.846316865392424</v>
      </c>
      <c r="I20" s="990">
        <f t="shared" ref="I20" si="2">(E20-H20)/H20</f>
        <v>4.3871126087982673E-2</v>
      </c>
      <c r="J20" s="112"/>
    </row>
    <row r="21" spans="1:13">
      <c r="A21" s="474" t="s">
        <v>83</v>
      </c>
      <c r="B21" s="477" t="s">
        <v>1378</v>
      </c>
      <c r="C21" s="6" t="s">
        <v>744</v>
      </c>
      <c r="D21" s="1640"/>
      <c r="E21" s="981">
        <f>+'F21_O&amp;M_EE (A)'!M31</f>
        <v>0</v>
      </c>
      <c r="F21" s="1640"/>
      <c r="G21" s="304"/>
      <c r="H21" s="989">
        <f>+'APR Snapshot'!E22</f>
        <v>0</v>
      </c>
      <c r="I21" s="990">
        <f>IFERROR((E21-H21)/H21,0)</f>
        <v>0</v>
      </c>
      <c r="J21" s="112"/>
    </row>
    <row r="22" spans="1:13">
      <c r="A22" s="474" t="s">
        <v>86</v>
      </c>
      <c r="B22" s="477" t="s">
        <v>1379</v>
      </c>
      <c r="C22" s="6" t="s">
        <v>744</v>
      </c>
      <c r="D22" s="1640"/>
      <c r="E22" s="309">
        <f>+'F23_O&amp;M_A&amp;G'!L46</f>
        <v>3.3479489943659884</v>
      </c>
      <c r="F22" s="1640"/>
      <c r="G22" s="304"/>
      <c r="H22" s="987">
        <f>+'APR Snapshot'!E23</f>
        <v>3.2299987878666871</v>
      </c>
      <c r="I22" s="990">
        <f t="shared" ref="I22" si="3">(E22-H22)/H22</f>
        <v>3.6517105499350243E-2</v>
      </c>
      <c r="J22" s="112"/>
    </row>
    <row r="23" spans="1:13">
      <c r="A23" s="474"/>
      <c r="B23" s="477" t="s">
        <v>1380</v>
      </c>
      <c r="C23" s="6" t="s">
        <v>744</v>
      </c>
      <c r="D23" s="1640"/>
      <c r="E23" s="303">
        <f>+E20+E21+E22</f>
        <v>5.2752658597584121</v>
      </c>
      <c r="F23" s="1640"/>
      <c r="G23" s="296"/>
      <c r="H23" s="305">
        <f>+'APR Snapshot'!E27</f>
        <v>5.0763156532591109</v>
      </c>
      <c r="I23" s="296">
        <f t="shared" ref="I23:I24" si="4">(E23-H23)/H23</f>
        <v>3.9191850958198507E-2</v>
      </c>
      <c r="J23" s="112"/>
    </row>
    <row r="24" spans="1:13">
      <c r="A24" s="474" t="s">
        <v>20</v>
      </c>
      <c r="B24" s="477" t="s">
        <v>21</v>
      </c>
      <c r="C24" s="6" t="s">
        <v>744</v>
      </c>
      <c r="D24" s="1640"/>
      <c r="E24" s="309">
        <f>+F24_Dep!G97</f>
        <v>1.9544652052630997</v>
      </c>
      <c r="F24" s="1640"/>
      <c r="G24" s="320"/>
      <c r="H24" s="987">
        <f>+'APR Snapshot'!E28</f>
        <v>1.8974952052630996</v>
      </c>
      <c r="I24" s="990">
        <f t="shared" si="4"/>
        <v>3.0023791281254354E-2</v>
      </c>
      <c r="J24" s="320"/>
    </row>
    <row r="25" spans="1:13">
      <c r="A25" s="474" t="s">
        <v>22</v>
      </c>
      <c r="B25" s="477" t="s">
        <v>1381</v>
      </c>
      <c r="C25" s="6" t="s">
        <v>744</v>
      </c>
      <c r="D25" s="1640"/>
      <c r="E25" s="309">
        <f>+F25_IOL!I15</f>
        <v>2.2024272768198707</v>
      </c>
      <c r="F25" s="1640"/>
      <c r="G25" s="320"/>
      <c r="H25" s="987">
        <f>+'APR Snapshot'!E29</f>
        <v>2.2993696220358704</v>
      </c>
      <c r="I25" s="990">
        <f t="shared" ref="I25" si="5">(E25-H25)/H25</f>
        <v>-4.2160400958140228E-2</v>
      </c>
      <c r="J25" s="320"/>
    </row>
    <row r="26" spans="1:13" ht="28.5">
      <c r="A26" s="474" t="s">
        <v>23</v>
      </c>
      <c r="B26" s="472" t="s">
        <v>650</v>
      </c>
      <c r="C26" s="6" t="s">
        <v>744</v>
      </c>
      <c r="D26" s="1640"/>
      <c r="E26" s="309">
        <f ca="1">+F25_IOL!I16</f>
        <v>0.49697239895099266</v>
      </c>
      <c r="F26" s="1640"/>
      <c r="G26" s="304"/>
      <c r="H26" s="987">
        <f>+'APR Snapshot'!E30</f>
        <v>0.28718032915648384</v>
      </c>
      <c r="I26" s="990">
        <f t="shared" ref="I26" ca="1" si="6">(E26-H26)/H26</f>
        <v>0.7305238155089433</v>
      </c>
      <c r="J26" s="112"/>
    </row>
    <row r="27" spans="1:13">
      <c r="A27" s="623" t="s">
        <v>24</v>
      </c>
      <c r="B27" s="624" t="s">
        <v>1426</v>
      </c>
      <c r="C27" s="6" t="s">
        <v>744</v>
      </c>
      <c r="D27" s="1640"/>
      <c r="E27" s="981">
        <f>+F25_IOL!I17</f>
        <v>0</v>
      </c>
      <c r="F27" s="1640"/>
      <c r="G27" s="320"/>
      <c r="H27" s="989">
        <f>+'APR Snapshot'!E31</f>
        <v>0</v>
      </c>
      <c r="I27" s="990">
        <f>IFERROR((E27-H27)/H27,0)</f>
        <v>0</v>
      </c>
      <c r="J27" s="320"/>
    </row>
    <row r="28" spans="1:13">
      <c r="A28" s="623" t="s">
        <v>26</v>
      </c>
      <c r="B28" s="477" t="s">
        <v>331</v>
      </c>
      <c r="C28" s="6" t="s">
        <v>744</v>
      </c>
      <c r="D28" s="1640"/>
      <c r="E28" s="971">
        <f ca="1">+'F27_Work Cap'!I16</f>
        <v>0.48029606531876645</v>
      </c>
      <c r="F28" s="1640"/>
      <c r="G28" s="320"/>
      <c r="H28" s="989">
        <f>+'APR Snapshot'!E32</f>
        <v>0.28930816098658457</v>
      </c>
      <c r="I28" s="990">
        <f ca="1">IFERROR((E28-H28)/H28,0)</f>
        <v>0.66015387772292444</v>
      </c>
      <c r="J28" s="112"/>
    </row>
    <row r="29" spans="1:13">
      <c r="A29" s="623" t="s">
        <v>82</v>
      </c>
      <c r="B29" s="477" t="s">
        <v>1383</v>
      </c>
      <c r="C29" s="6" t="s">
        <v>744</v>
      </c>
      <c r="D29" s="1640"/>
      <c r="E29" s="303"/>
      <c r="F29" s="1640"/>
      <c r="G29" s="320"/>
      <c r="H29" s="305"/>
      <c r="I29" s="304"/>
      <c r="J29" s="112"/>
    </row>
    <row r="30" spans="1:13">
      <c r="A30" s="623" t="s">
        <v>89</v>
      </c>
      <c r="B30" s="477" t="s">
        <v>25</v>
      </c>
      <c r="C30" s="6" t="s">
        <v>744</v>
      </c>
      <c r="D30" s="1640"/>
      <c r="E30" s="322"/>
      <c r="F30" s="1640"/>
      <c r="G30" s="320"/>
      <c r="H30" s="321"/>
      <c r="I30" s="320"/>
      <c r="J30" s="320"/>
    </row>
    <row r="31" spans="1:13">
      <c r="A31" s="623" t="s">
        <v>487</v>
      </c>
      <c r="B31" s="477" t="s">
        <v>28</v>
      </c>
      <c r="C31" s="6" t="s">
        <v>744</v>
      </c>
      <c r="D31" s="1640"/>
      <c r="E31" s="969">
        <f>+F26_ROE!L13</f>
        <v>1.7224351788531813</v>
      </c>
      <c r="F31" s="1640"/>
      <c r="G31" s="112"/>
      <c r="H31" s="989">
        <f>+'APR Snapshot'!E35</f>
        <v>1.6616851788531815</v>
      </c>
      <c r="I31" s="990">
        <f>IFERROR((E31-H31)/H31,0)</f>
        <v>3.6559271739985494E-2</v>
      </c>
      <c r="J31" s="112"/>
    </row>
    <row r="32" spans="1:13">
      <c r="A32" s="623" t="s">
        <v>488</v>
      </c>
      <c r="B32" s="477" t="s">
        <v>87</v>
      </c>
      <c r="C32" s="6" t="s">
        <v>744</v>
      </c>
      <c r="D32" s="1640"/>
      <c r="E32" s="969">
        <f>+'F29_Income Tax'!F23</f>
        <v>0</v>
      </c>
      <c r="F32" s="1640"/>
      <c r="G32" s="112"/>
      <c r="H32" s="112"/>
      <c r="I32" s="112"/>
      <c r="J32" s="112"/>
    </row>
    <row r="33" spans="1:10">
      <c r="A33" s="580"/>
      <c r="B33" s="579" t="s">
        <v>606</v>
      </c>
      <c r="C33" s="4" t="s">
        <v>744</v>
      </c>
      <c r="D33" s="1640"/>
      <c r="E33" s="991">
        <f ca="1">SUM(E17:E32)-E23</f>
        <v>70.406019653725522</v>
      </c>
      <c r="F33" s="1640"/>
      <c r="G33" s="112"/>
      <c r="H33" s="991">
        <f>SUM(H17:H32)-H23</f>
        <v>46.549147326677598</v>
      </c>
      <c r="I33" s="296">
        <f ca="1">IFERROR((E33-H33)/H33,0)</f>
        <v>0.51250933039917157</v>
      </c>
      <c r="J33" s="112"/>
    </row>
    <row r="34" spans="1:10">
      <c r="A34" s="474"/>
      <c r="B34" s="585"/>
      <c r="C34" s="323"/>
      <c r="D34" s="1640"/>
      <c r="E34" s="112"/>
      <c r="F34" s="1640"/>
      <c r="G34" s="112"/>
      <c r="H34" s="112"/>
      <c r="I34" s="112"/>
      <c r="J34" s="112"/>
    </row>
    <row r="35" spans="1:10">
      <c r="A35" s="474" t="s">
        <v>39</v>
      </c>
      <c r="B35" s="579" t="s">
        <v>323</v>
      </c>
      <c r="C35" s="323"/>
      <c r="D35" s="1640"/>
      <c r="E35" s="112"/>
      <c r="F35" s="1640"/>
      <c r="G35" s="112"/>
      <c r="H35" s="112"/>
      <c r="I35" s="112"/>
      <c r="J35" s="112"/>
    </row>
    <row r="36" spans="1:10">
      <c r="A36" s="474" t="s">
        <v>15</v>
      </c>
      <c r="B36" s="477" t="s">
        <v>84</v>
      </c>
      <c r="C36" s="6" t="s">
        <v>744</v>
      </c>
      <c r="D36" s="1640"/>
      <c r="E36" s="112"/>
      <c r="F36" s="1640"/>
      <c r="G36" s="112"/>
      <c r="H36" s="112"/>
      <c r="I36" s="112"/>
      <c r="J36" s="112"/>
    </row>
    <row r="37" spans="1:10">
      <c r="A37" s="474" t="s">
        <v>16</v>
      </c>
      <c r="B37" s="477" t="s">
        <v>88</v>
      </c>
      <c r="C37" s="6" t="s">
        <v>744</v>
      </c>
      <c r="D37" s="1640"/>
      <c r="E37" s="969">
        <f>+F28_NTI!H25</f>
        <v>0.2431547899367032</v>
      </c>
      <c r="F37" s="1640"/>
      <c r="G37" s="112"/>
      <c r="H37" s="989">
        <f>+'APR Snapshot'!E41</f>
        <v>0.2431547899367032</v>
      </c>
      <c r="I37" s="990">
        <f>IFERROR((E37-H37)/H37,0)</f>
        <v>0</v>
      </c>
      <c r="J37" s="112"/>
    </row>
    <row r="38" spans="1:10">
      <c r="A38" s="474" t="s">
        <v>39</v>
      </c>
      <c r="B38" s="477" t="s">
        <v>320</v>
      </c>
      <c r="C38" s="6" t="s">
        <v>744</v>
      </c>
      <c r="D38" s="1640"/>
      <c r="E38" s="112"/>
      <c r="F38" s="1640"/>
      <c r="G38" s="112"/>
      <c r="H38" s="112"/>
      <c r="I38" s="112"/>
      <c r="J38" s="112"/>
    </row>
    <row r="39" spans="1:10">
      <c r="A39" s="580"/>
      <c r="B39" s="579" t="s">
        <v>605</v>
      </c>
      <c r="C39" s="4" t="s">
        <v>744</v>
      </c>
      <c r="D39" s="1640"/>
      <c r="E39" s="992">
        <f>SUM(E36:E38)</f>
        <v>0.2431547899367032</v>
      </c>
      <c r="F39" s="1640"/>
      <c r="G39" s="112"/>
      <c r="H39" s="992">
        <f>SUM(H36:H38)</f>
        <v>0.2431547899367032</v>
      </c>
      <c r="I39" s="990">
        <f>IFERROR((E39-H39)/H39,0)</f>
        <v>0</v>
      </c>
      <c r="J39" s="112"/>
    </row>
    <row r="40" spans="1:10" ht="28.5">
      <c r="A40" s="580" t="s">
        <v>40</v>
      </c>
      <c r="B40" s="586" t="s">
        <v>160</v>
      </c>
      <c r="C40" s="4" t="s">
        <v>744</v>
      </c>
      <c r="D40" s="1640"/>
      <c r="E40" s="991">
        <f ca="1">+E33-E39</f>
        <v>70.162864863788826</v>
      </c>
      <c r="F40" s="1640"/>
      <c r="G40" s="112"/>
      <c r="H40" s="991">
        <f>+H33-H39</f>
        <v>46.305992536740895</v>
      </c>
      <c r="I40" s="296">
        <f ca="1">IFERROR((E40-H40)/H40,0)</f>
        <v>0.51520053928482368</v>
      </c>
      <c r="J40" s="112"/>
    </row>
    <row r="41" spans="1:10" ht="28.5">
      <c r="A41" s="587" t="s">
        <v>41</v>
      </c>
      <c r="B41" s="588" t="s">
        <v>161</v>
      </c>
      <c r="C41" s="6" t="s">
        <v>744</v>
      </c>
      <c r="D41" s="1640"/>
      <c r="E41" s="615">
        <f ca="1">+E14-E40</f>
        <v>-1.9729265351229941</v>
      </c>
      <c r="F41" s="1640"/>
      <c r="G41" s="112"/>
      <c r="H41" s="615">
        <f>+H14-H40</f>
        <v>-4.631449975144875</v>
      </c>
      <c r="I41" s="990">
        <f ca="1">IFERROR((E41-H41)/H41,0)</f>
        <v>-0.57401536328560265</v>
      </c>
      <c r="J41" s="112"/>
    </row>
    <row r="42" spans="1:10">
      <c r="A42" s="587" t="s">
        <v>42</v>
      </c>
      <c r="B42" s="477" t="s">
        <v>318</v>
      </c>
      <c r="C42" s="6" t="s">
        <v>744</v>
      </c>
      <c r="D42" s="1640"/>
      <c r="E42" s="112"/>
      <c r="F42" s="1640"/>
      <c r="G42" s="112"/>
      <c r="H42" s="112"/>
      <c r="I42" s="112"/>
      <c r="J42" s="112"/>
    </row>
    <row r="43" spans="1:10" ht="28.5">
      <c r="A43" s="580" t="s">
        <v>90</v>
      </c>
      <c r="B43" s="586" t="s">
        <v>162</v>
      </c>
      <c r="C43" s="6" t="s">
        <v>744</v>
      </c>
      <c r="D43" s="1640"/>
      <c r="E43" s="994">
        <f ca="1">+E41+E42</f>
        <v>-1.9729265351229941</v>
      </c>
      <c r="F43" s="1640"/>
      <c r="G43" s="112"/>
      <c r="H43" s="994">
        <f>+H41+H42</f>
        <v>-4.631449975144875</v>
      </c>
      <c r="I43" s="990">
        <f ca="1">IFERROR((E43-H43)/H43,0)</f>
        <v>-0.57401536328560265</v>
      </c>
      <c r="J43" s="112"/>
    </row>
    <row r="44" spans="1:10">
      <c r="A44" s="587" t="s">
        <v>91</v>
      </c>
      <c r="B44" s="196" t="s">
        <v>319</v>
      </c>
      <c r="C44" s="6" t="s">
        <v>744</v>
      </c>
      <c r="D44" s="1640"/>
      <c r="E44" s="581"/>
      <c r="F44" s="1640"/>
      <c r="G44" s="112"/>
      <c r="H44" s="581"/>
      <c r="I44" s="112"/>
      <c r="J44" s="112"/>
    </row>
    <row r="45" spans="1:10">
      <c r="A45" s="580" t="s">
        <v>92</v>
      </c>
      <c r="B45" s="589" t="s">
        <v>604</v>
      </c>
      <c r="C45" s="6" t="s">
        <v>744</v>
      </c>
      <c r="D45" s="1641"/>
      <c r="E45" s="994">
        <f ca="1">+E43-E44</f>
        <v>-1.9729265351229941</v>
      </c>
      <c r="F45" s="1641"/>
      <c r="G45" s="112"/>
      <c r="H45" s="994">
        <f>+H43-H44</f>
        <v>-4.631449975144875</v>
      </c>
      <c r="I45" s="990">
        <f ca="1">IFERROR((E45-H45)/H45,0)</f>
        <v>-0.57401536328560265</v>
      </c>
      <c r="J45" s="112"/>
    </row>
    <row r="46" spans="1:10">
      <c r="A46" s="1635" t="s">
        <v>748</v>
      </c>
      <c r="B46" s="1519"/>
      <c r="C46" s="1519"/>
      <c r="D46" s="1519"/>
      <c r="E46" s="1519"/>
      <c r="F46" s="1519"/>
      <c r="G46" s="1519"/>
      <c r="H46" s="1519"/>
      <c r="I46" s="1519"/>
      <c r="J46" s="1520"/>
    </row>
    <row r="47" spans="1:10">
      <c r="A47" s="1635" t="s">
        <v>750</v>
      </c>
      <c r="B47" s="1519"/>
      <c r="C47" s="1519"/>
      <c r="D47" s="1519"/>
      <c r="E47" s="1519"/>
      <c r="F47" s="1519"/>
      <c r="G47" s="1519"/>
      <c r="H47" s="1519"/>
      <c r="I47" s="1519"/>
      <c r="J47" s="1520"/>
    </row>
    <row r="48" spans="1:10">
      <c r="A48" s="1636" t="s">
        <v>749</v>
      </c>
      <c r="B48" s="1637"/>
      <c r="C48" s="1637"/>
      <c r="D48" s="1637"/>
      <c r="E48" s="1637"/>
      <c r="F48" s="1637"/>
      <c r="G48" s="1637"/>
      <c r="H48" s="1637"/>
      <c r="I48" s="1637"/>
      <c r="J48" s="1638"/>
    </row>
    <row r="49" spans="1:27">
      <c r="A49" s="1518" t="s">
        <v>1413</v>
      </c>
      <c r="B49" s="1522"/>
      <c r="C49" s="1522"/>
      <c r="D49" s="1522"/>
      <c r="E49" s="1522"/>
      <c r="F49" s="1522"/>
      <c r="G49" s="1522"/>
      <c r="H49" s="1522"/>
      <c r="I49" s="1522"/>
      <c r="J49" s="1523"/>
    </row>
    <row r="51" spans="1:27">
      <c r="B51" s="591" t="s">
        <v>777</v>
      </c>
      <c r="C51" s="576"/>
    </row>
    <row r="52" spans="1:27" ht="57">
      <c r="B52" s="1558" t="s">
        <v>10</v>
      </c>
      <c r="C52" s="1558" t="s">
        <v>34</v>
      </c>
      <c r="D52" s="292" t="s">
        <v>775</v>
      </c>
      <c r="E52" s="182" t="s">
        <v>741</v>
      </c>
      <c r="F52" s="182" t="s">
        <v>733</v>
      </c>
      <c r="G52" s="1558" t="s">
        <v>80</v>
      </c>
    </row>
    <row r="53" spans="1:27">
      <c r="B53" s="1559"/>
      <c r="C53" s="1559"/>
      <c r="D53" s="390" t="s">
        <v>722</v>
      </c>
      <c r="E53" s="292" t="s">
        <v>723</v>
      </c>
      <c r="F53" s="1558" t="s">
        <v>736</v>
      </c>
      <c r="G53" s="1559"/>
    </row>
    <row r="54" spans="1:27">
      <c r="B54" s="1560"/>
      <c r="C54" s="1560"/>
      <c r="D54" s="390" t="s">
        <v>350</v>
      </c>
      <c r="E54" s="393" t="s">
        <v>739</v>
      </c>
      <c r="F54" s="1560"/>
      <c r="G54" s="1560"/>
    </row>
    <row r="55" spans="1:27">
      <c r="B55" s="293" t="s">
        <v>751</v>
      </c>
      <c r="C55" s="290" t="s">
        <v>744</v>
      </c>
      <c r="D55" s="290"/>
      <c r="E55" s="309">
        <f>+'APR Snapshot'!E64</f>
        <v>36.926337307848478</v>
      </c>
      <c r="F55" s="296"/>
      <c r="G55" s="112"/>
    </row>
    <row r="56" spans="1:27">
      <c r="B56" s="64" t="s">
        <v>752</v>
      </c>
      <c r="C56" s="6" t="s">
        <v>744</v>
      </c>
      <c r="D56" s="6"/>
      <c r="E56" s="309">
        <f>+F24_Dep!C97</f>
        <v>2.7</v>
      </c>
      <c r="F56" s="296"/>
      <c r="G56" s="112"/>
    </row>
    <row r="57" spans="1:27">
      <c r="B57" s="64" t="s">
        <v>753</v>
      </c>
      <c r="C57" s="6" t="s">
        <v>744</v>
      </c>
      <c r="D57" s="6"/>
      <c r="E57" s="309">
        <v>0</v>
      </c>
      <c r="F57" s="296"/>
      <c r="G57" s="112"/>
    </row>
    <row r="58" spans="1:27">
      <c r="B58" s="64" t="s">
        <v>754</v>
      </c>
      <c r="C58" s="6" t="s">
        <v>744</v>
      </c>
      <c r="D58" s="6"/>
      <c r="E58" s="309">
        <f>+E55+E56-E57</f>
        <v>39.62633730784848</v>
      </c>
      <c r="F58" s="296"/>
      <c r="G58" s="112"/>
    </row>
    <row r="59" spans="1:27">
      <c r="B59" s="8" t="s">
        <v>1217</v>
      </c>
      <c r="C59" s="6"/>
      <c r="D59" s="6"/>
      <c r="E59" s="309"/>
      <c r="F59" s="296"/>
      <c r="G59" s="112"/>
    </row>
    <row r="60" spans="1:27">
      <c r="B60" s="1628" t="s">
        <v>1246</v>
      </c>
      <c r="C60" s="1629"/>
      <c r="D60" s="1629"/>
      <c r="E60" s="1629"/>
      <c r="F60" s="1629"/>
      <c r="G60" s="1630"/>
      <c r="H60" s="340"/>
      <c r="I60" s="340"/>
      <c r="J60" s="340"/>
      <c r="K60" s="340"/>
      <c r="L60" s="340"/>
      <c r="M60" s="340"/>
      <c r="N60" s="340"/>
      <c r="O60" s="340"/>
      <c r="P60" s="340"/>
      <c r="Q60" s="340"/>
      <c r="R60" s="340"/>
      <c r="S60" s="340"/>
      <c r="T60" s="340"/>
      <c r="U60" s="340"/>
      <c r="V60" s="340"/>
      <c r="W60" s="340"/>
      <c r="X60" s="340"/>
      <c r="Y60" s="441"/>
      <c r="Z60" s="441"/>
      <c r="AA60" s="441"/>
    </row>
    <row r="62" spans="1:27">
      <c r="B62" s="591" t="s">
        <v>778</v>
      </c>
      <c r="C62" s="576"/>
    </row>
    <row r="63" spans="1:27">
      <c r="B63" s="1530" t="s">
        <v>10</v>
      </c>
      <c r="C63" s="1531" t="s">
        <v>775</v>
      </c>
      <c r="D63" s="1531"/>
      <c r="E63" s="1530" t="s">
        <v>741</v>
      </c>
      <c r="F63" s="1530"/>
      <c r="G63" s="1627"/>
      <c r="H63" s="1627"/>
      <c r="J63" s="1524" t="s">
        <v>782</v>
      </c>
      <c r="K63" s="1524"/>
      <c r="L63" s="1524"/>
      <c r="M63" s="1524"/>
    </row>
    <row r="64" spans="1:27">
      <c r="B64" s="1530"/>
      <c r="C64" s="392" t="s">
        <v>548</v>
      </c>
      <c r="D64" s="392" t="s">
        <v>35</v>
      </c>
      <c r="E64" s="391" t="s">
        <v>548</v>
      </c>
      <c r="F64" s="391" t="s">
        <v>35</v>
      </c>
      <c r="G64" s="442"/>
      <c r="H64" s="442"/>
      <c r="J64" s="1524" t="s">
        <v>783</v>
      </c>
      <c r="K64" s="146" t="s">
        <v>343</v>
      </c>
      <c r="L64" s="146" t="s">
        <v>1442</v>
      </c>
      <c r="M64" s="146" t="s">
        <v>2024</v>
      </c>
    </row>
    <row r="65" spans="2:13">
      <c r="B65" s="217" t="s">
        <v>755</v>
      </c>
      <c r="C65" s="298"/>
      <c r="D65" s="300">
        <v>1</v>
      </c>
      <c r="E65" s="294">
        <f>SUM(E66:E68)</f>
        <v>5.2752658597584121</v>
      </c>
      <c r="F65" s="301">
        <v>1</v>
      </c>
      <c r="G65" s="443"/>
      <c r="H65" s="444"/>
      <c r="J65" s="1524"/>
      <c r="K65" s="152" t="s">
        <v>183</v>
      </c>
      <c r="L65" s="152" t="s">
        <v>183</v>
      </c>
      <c r="M65" s="152" t="s">
        <v>183</v>
      </c>
    </row>
    <row r="66" spans="2:13">
      <c r="B66" s="313" t="s">
        <v>756</v>
      </c>
      <c r="C66" s="311"/>
      <c r="D66" s="314"/>
      <c r="E66" s="315">
        <f>+E21</f>
        <v>0</v>
      </c>
      <c r="F66" s="316">
        <f>+E66/$E$65</f>
        <v>0</v>
      </c>
      <c r="G66" s="445"/>
      <c r="H66" s="446"/>
      <c r="J66" s="325" t="s">
        <v>787</v>
      </c>
      <c r="K66" s="969">
        <f>+'True up-snapshot'!N83</f>
        <v>89.171416813000008</v>
      </c>
      <c r="L66" s="968">
        <f>+K72</f>
        <v>16.32597650515153</v>
      </c>
      <c r="M66" s="968">
        <f>+L72</f>
        <v>16.32597650515153</v>
      </c>
    </row>
    <row r="67" spans="2:13">
      <c r="B67" s="313" t="s">
        <v>757</v>
      </c>
      <c r="C67" s="311"/>
      <c r="D67" s="314"/>
      <c r="E67" s="315">
        <f>+E22</f>
        <v>3.3479489943659884</v>
      </c>
      <c r="F67" s="316">
        <f t="shared" ref="F67:F68" si="7">+E67/$E$65</f>
        <v>0.6346502874680352</v>
      </c>
      <c r="G67" s="445"/>
      <c r="H67" s="446"/>
      <c r="J67" s="325" t="s">
        <v>729</v>
      </c>
      <c r="K67" s="969">
        <f>+'True up-snapshot'!N84</f>
        <v>0</v>
      </c>
      <c r="L67" s="969">
        <f>+'APR Snapshot'!J84</f>
        <v>0</v>
      </c>
      <c r="M67" s="969">
        <f>+F24_Dep!C97</f>
        <v>2.7</v>
      </c>
    </row>
    <row r="68" spans="2:13" ht="28.5">
      <c r="B68" s="313" t="s">
        <v>758</v>
      </c>
      <c r="C68" s="311"/>
      <c r="D68" s="314"/>
      <c r="E68" s="315">
        <f>+E20</f>
        <v>1.927316865392424</v>
      </c>
      <c r="F68" s="316">
        <f t="shared" si="7"/>
        <v>0.3653497125319648</v>
      </c>
      <c r="G68" s="445"/>
      <c r="H68" s="446"/>
      <c r="J68" s="324" t="s">
        <v>1177</v>
      </c>
      <c r="K68" s="969">
        <f>+'True up-snapshot'!N85</f>
        <v>0</v>
      </c>
      <c r="L68" s="969">
        <f>+'APR Snapshot'!J85</f>
        <v>0</v>
      </c>
      <c r="M68" s="969">
        <v>0</v>
      </c>
    </row>
    <row r="69" spans="2:13">
      <c r="B69" s="1567" t="s">
        <v>1217</v>
      </c>
      <c r="C69" s="1590"/>
      <c r="D69" s="1590"/>
      <c r="E69" s="1590"/>
      <c r="F69" s="1590"/>
      <c r="J69" s="325" t="s">
        <v>788</v>
      </c>
      <c r="K69" s="969">
        <f>+'True up-snapshot'!N86</f>
        <v>0</v>
      </c>
      <c r="L69" s="969">
        <f>+'APR Snapshot'!J86</f>
        <v>0</v>
      </c>
      <c r="M69" s="969">
        <v>0</v>
      </c>
    </row>
    <row r="70" spans="2:13">
      <c r="B70" s="1590" t="s">
        <v>1246</v>
      </c>
      <c r="C70" s="1590"/>
      <c r="D70" s="1590"/>
      <c r="E70" s="1590"/>
      <c r="F70" s="1590"/>
      <c r="J70" s="325" t="s">
        <v>789</v>
      </c>
      <c r="K70" s="969">
        <f>+'True up-snapshot'!N87</f>
        <v>0</v>
      </c>
      <c r="L70" s="969">
        <f>+'APR Snapshot'!J87</f>
        <v>0</v>
      </c>
      <c r="M70" s="969">
        <v>0</v>
      </c>
    </row>
    <row r="71" spans="2:13" ht="28.5">
      <c r="J71" s="325" t="s">
        <v>730</v>
      </c>
      <c r="K71" s="969">
        <f>+'True up-snapshot'!N88</f>
        <v>72.845440307848477</v>
      </c>
      <c r="L71" s="969">
        <f>+'APR Snapshot'!J88</f>
        <v>0</v>
      </c>
      <c r="M71" s="993">
        <f>+M67</f>
        <v>2.7</v>
      </c>
    </row>
    <row r="72" spans="2:13">
      <c r="B72" s="153" t="s">
        <v>779</v>
      </c>
      <c r="C72" s="576"/>
      <c r="J72" s="325" t="s">
        <v>790</v>
      </c>
      <c r="K72" s="968">
        <f>+K66-K71+SUM(K67:K70)</f>
        <v>16.32597650515153</v>
      </c>
      <c r="L72" s="968">
        <f>+L66-L71+SUM(L67:L70)</f>
        <v>16.32597650515153</v>
      </c>
      <c r="M72" s="968">
        <f>+M66-M71+SUM(M67:M70)</f>
        <v>16.32597650515153</v>
      </c>
    </row>
    <row r="73" spans="2:13">
      <c r="B73" s="1553" t="s">
        <v>10</v>
      </c>
      <c r="C73" s="1553" t="s">
        <v>354</v>
      </c>
      <c r="D73" s="146" t="s">
        <v>343</v>
      </c>
      <c r="E73" s="146" t="s">
        <v>1442</v>
      </c>
      <c r="F73" s="146" t="s">
        <v>2024</v>
      </c>
      <c r="J73" s="325" t="s">
        <v>791</v>
      </c>
      <c r="K73" s="112">
        <f>+'True up-snapshot'!M90</f>
        <v>0</v>
      </c>
      <c r="L73" s="968">
        <f>+K76</f>
        <v>72.845440307848477</v>
      </c>
      <c r="M73" s="968">
        <f>+L76</f>
        <v>72.845440307848477</v>
      </c>
    </row>
    <row r="74" spans="2:13">
      <c r="B74" s="1553"/>
      <c r="C74" s="1553"/>
      <c r="D74" s="152" t="s">
        <v>183</v>
      </c>
      <c r="E74" s="152" t="s">
        <v>183</v>
      </c>
      <c r="F74" s="152" t="s">
        <v>183</v>
      </c>
      <c r="J74" s="325" t="s">
        <v>219</v>
      </c>
      <c r="K74" s="993">
        <f>+K71</f>
        <v>72.845440307848477</v>
      </c>
      <c r="L74" s="993">
        <f t="shared" ref="L74:M74" si="8">+L71</f>
        <v>0</v>
      </c>
      <c r="M74" s="993">
        <f t="shared" si="8"/>
        <v>2.7</v>
      </c>
    </row>
    <row r="75" spans="2:13">
      <c r="B75" s="317" t="s">
        <v>759</v>
      </c>
      <c r="C75" s="24" t="s">
        <v>722</v>
      </c>
      <c r="D75" s="281">
        <f>+'True up-snapshot'!E81</f>
        <v>37.540040376137725</v>
      </c>
      <c r="E75" s="281">
        <f>+'APR Snapshot'!E81</f>
        <v>61.157459186384557</v>
      </c>
      <c r="F75" s="839">
        <f>+E9</f>
        <v>100.99122120000001</v>
      </c>
      <c r="J75" s="325" t="s">
        <v>324</v>
      </c>
      <c r="K75" s="112">
        <f>+'True up-snapshot'!M92</f>
        <v>0</v>
      </c>
      <c r="L75" s="969">
        <f>+'APR Snapshot'!J92</f>
        <v>0</v>
      </c>
      <c r="M75" s="112">
        <v>0</v>
      </c>
    </row>
    <row r="76" spans="2:13">
      <c r="B76" s="317" t="s">
        <v>760</v>
      </c>
      <c r="C76" s="24" t="s">
        <v>723</v>
      </c>
      <c r="D76" s="282">
        <f>+'True up-snapshot'!E82</f>
        <v>1.8706145291897115E-2</v>
      </c>
      <c r="E76" s="282">
        <f>+'APR Snapshot'!E82</f>
        <v>9.8827273120369683E-3</v>
      </c>
      <c r="F76" s="839">
        <f>+E10</f>
        <v>9.882727312036866E-3</v>
      </c>
      <c r="J76" s="325" t="s">
        <v>792</v>
      </c>
      <c r="K76" s="968">
        <f>+K73+K74-K75</f>
        <v>72.845440307848477</v>
      </c>
      <c r="L76" s="968">
        <f t="shared" ref="L76:M76" si="9">+L73+L74-L75</f>
        <v>72.845440307848477</v>
      </c>
      <c r="M76" s="968">
        <f t="shared" si="9"/>
        <v>75.54544030784848</v>
      </c>
    </row>
    <row r="77" spans="2:13" ht="28.5">
      <c r="B77" s="317" t="s">
        <v>761</v>
      </c>
      <c r="C77" s="310" t="s">
        <v>762</v>
      </c>
      <c r="D77" s="281">
        <f>+D75/(1-D76)</f>
        <v>38.255656240000036</v>
      </c>
      <c r="E77" s="281">
        <f t="shared" ref="E77:F77" si="10">+E75/(1-E76)</f>
        <v>61.767894443811429</v>
      </c>
      <c r="F77" s="281">
        <f t="shared" si="10"/>
        <v>101.99925199348334</v>
      </c>
      <c r="J77" s="325" t="s">
        <v>793</v>
      </c>
      <c r="K77" s="969">
        <f>+'True up-snapshot'!M94</f>
        <v>3.324725023731169</v>
      </c>
      <c r="L77" s="969">
        <f>+'APR Snapshot'!J94</f>
        <v>3.7940238436630995</v>
      </c>
      <c r="M77" s="969">
        <f>+F24_Dep!G93</f>
        <v>3.8509938436630997</v>
      </c>
    </row>
    <row r="78" spans="2:13" ht="28.5">
      <c r="B78" s="317" t="s">
        <v>763</v>
      </c>
      <c r="C78" s="24" t="s">
        <v>40</v>
      </c>
      <c r="D78" s="281">
        <f>+'True up-snapshot'!E84</f>
        <v>39.512142367279537</v>
      </c>
      <c r="E78" s="281">
        <f>+'APR Snapshot'!E84</f>
        <v>63.796627188402638</v>
      </c>
      <c r="F78" s="1001">
        <f>+F1_PP_Annual!J706</f>
        <v>105.34936169539698</v>
      </c>
      <c r="J78" s="325" t="s">
        <v>794</v>
      </c>
      <c r="K78" s="969">
        <f>+'True up-snapshot'!M95</f>
        <v>1.631878364731169</v>
      </c>
      <c r="L78" s="969">
        <f>+'APR Snapshot'!J95</f>
        <v>1.8974952052630996</v>
      </c>
      <c r="M78" s="969">
        <f>+F24_Dep!G96</f>
        <v>1.8965286384</v>
      </c>
    </row>
    <row r="79" spans="2:13" ht="28.5">
      <c r="B79" s="285" t="s">
        <v>764</v>
      </c>
      <c r="C79" s="24" t="s">
        <v>41</v>
      </c>
      <c r="D79" s="1002">
        <f>+'True up-snapshot'!E85</f>
        <v>0</v>
      </c>
      <c r="E79" s="1002">
        <f>+'APR Snapshot'!E85</f>
        <v>0</v>
      </c>
      <c r="F79" s="839">
        <v>0</v>
      </c>
      <c r="J79" s="1626" t="s">
        <v>748</v>
      </c>
      <c r="K79" s="1626"/>
      <c r="L79" s="1626"/>
      <c r="M79" s="1626"/>
    </row>
    <row r="80" spans="2:13">
      <c r="B80" s="285" t="s">
        <v>765</v>
      </c>
      <c r="C80" s="24" t="s">
        <v>42</v>
      </c>
      <c r="D80" s="282">
        <f>+'True up-snapshot'!E86</f>
        <v>3.1800000000000057E-2</v>
      </c>
      <c r="E80" s="282">
        <f>+'APR Snapshot'!E86</f>
        <v>3.1800000000000057E-2</v>
      </c>
      <c r="F80" s="289">
        <f>+'F3.2_PP_Monthly 26-27'!L96</f>
        <v>3.1800000000000057E-2</v>
      </c>
    </row>
    <row r="81" spans="2:6" ht="42.75">
      <c r="B81" s="285" t="s">
        <v>766</v>
      </c>
      <c r="C81" s="286" t="s">
        <v>767</v>
      </c>
      <c r="D81" s="287">
        <f>+D78*(1-D80)</f>
        <v>38.255656240000043</v>
      </c>
      <c r="E81" s="287">
        <f t="shared" ref="E81:F81" si="11">+E78*(1-E80)</f>
        <v>61.767894443811429</v>
      </c>
      <c r="F81" s="287">
        <f t="shared" si="11"/>
        <v>101.99925199348336</v>
      </c>
    </row>
    <row r="82" spans="2:6" ht="28.5">
      <c r="B82" s="285" t="s">
        <v>768</v>
      </c>
      <c r="C82" s="24" t="s">
        <v>91</v>
      </c>
      <c r="D82" s="284"/>
      <c r="E82" s="281"/>
      <c r="F82" s="282"/>
    </row>
    <row r="83" spans="2:6">
      <c r="B83" s="288" t="s">
        <v>769</v>
      </c>
      <c r="C83" s="33" t="s">
        <v>770</v>
      </c>
      <c r="D83" s="282"/>
      <c r="E83" s="283"/>
      <c r="F83" s="282"/>
    </row>
    <row r="84" spans="2:6" ht="28.5">
      <c r="B84" s="313" t="s">
        <v>771</v>
      </c>
      <c r="C84" s="24" t="s">
        <v>772</v>
      </c>
      <c r="D84" s="281">
        <f>+'True up-snapshot'!E90</f>
        <v>7.9653262418419901</v>
      </c>
      <c r="E84" s="281">
        <f>+'APR Snapshot'!E90</f>
        <v>6.8143024769207541</v>
      </c>
      <c r="F84" s="1002">
        <f>+E13/F75*10</f>
        <v>6.7520659239900169</v>
      </c>
    </row>
    <row r="85" spans="2:6">
      <c r="B85" s="313" t="s">
        <v>773</v>
      </c>
      <c r="C85" s="6" t="s">
        <v>772</v>
      </c>
      <c r="D85" s="281">
        <f>+'True up-snapshot'!E91</f>
        <v>7.9653262418419901</v>
      </c>
      <c r="E85" s="281">
        <f>+'APR Snapshot'!E91</f>
        <v>6.8143024769207541</v>
      </c>
      <c r="F85" s="1003">
        <f>+F84</f>
        <v>6.7520659239900169</v>
      </c>
    </row>
    <row r="86" spans="2:6">
      <c r="B86" s="581" t="s">
        <v>774</v>
      </c>
      <c r="C86" s="4" t="s">
        <v>772</v>
      </c>
      <c r="D86" s="1004">
        <f>+'True up-snapshot'!E92</f>
        <v>8.989293841621194</v>
      </c>
      <c r="E86" s="1004">
        <f>+'APR Snapshot'!E92</f>
        <v>7.5716017559882491</v>
      </c>
      <c r="F86" s="1005">
        <f ca="1">+E40/F75*10</f>
        <v>6.9474221650256487</v>
      </c>
    </row>
    <row r="87" spans="2:6" ht="14.45" customHeight="1">
      <c r="B87" s="1623" t="s">
        <v>748</v>
      </c>
      <c r="C87" s="1624"/>
      <c r="D87" s="1624"/>
      <c r="E87" s="1624"/>
      <c r="F87" s="1625"/>
    </row>
  </sheetData>
  <mergeCells count="35">
    <mergeCell ref="A46:J46"/>
    <mergeCell ref="A47:J47"/>
    <mergeCell ref="A48:J48"/>
    <mergeCell ref="A49:J49"/>
    <mergeCell ref="D7:E7"/>
    <mergeCell ref="D8:D45"/>
    <mergeCell ref="F8:F45"/>
    <mergeCell ref="A1:B1"/>
    <mergeCell ref="B4:B7"/>
    <mergeCell ref="C4:C7"/>
    <mergeCell ref="G4:G7"/>
    <mergeCell ref="J4:J7"/>
    <mergeCell ref="D5:D6"/>
    <mergeCell ref="E5:E6"/>
    <mergeCell ref="F5:F7"/>
    <mergeCell ref="H5:H6"/>
    <mergeCell ref="I5:I7"/>
    <mergeCell ref="A4:A7"/>
    <mergeCell ref="B52:B54"/>
    <mergeCell ref="C52:C54"/>
    <mergeCell ref="G52:G54"/>
    <mergeCell ref="F53:F54"/>
    <mergeCell ref="B60:G60"/>
    <mergeCell ref="B69:F69"/>
    <mergeCell ref="B70:F70"/>
    <mergeCell ref="B87:F87"/>
    <mergeCell ref="J64:J65"/>
    <mergeCell ref="J63:M63"/>
    <mergeCell ref="J79:M79"/>
    <mergeCell ref="B63:B64"/>
    <mergeCell ref="C63:D63"/>
    <mergeCell ref="E63:F63"/>
    <mergeCell ref="G63:H63"/>
    <mergeCell ref="B73:B74"/>
    <mergeCell ref="C73:C74"/>
  </mergeCells>
  <printOptions horizontalCentered="1"/>
  <pageMargins left="0.51181102362204722" right="0.51181102362204722" top="0.55118110236220474" bottom="0.55118110236220474" header="0.31496062992125984" footer="0.31496062992125984"/>
  <pageSetup paperSize="5" scale="88" fitToHeight="3" orientation="landscape" r:id="rId1"/>
  <rowBreaks count="1" manualBreakCount="1">
    <brk id="60"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FFFF"/>
    <pageSetUpPr fitToPage="1"/>
  </sheetPr>
  <dimension ref="A1:AQ19"/>
  <sheetViews>
    <sheetView view="pageBreakPreview" zoomScale="75" zoomScaleNormal="80" zoomScaleSheetLayoutView="75" workbookViewId="0">
      <selection activeCell="T96" sqref="T96"/>
    </sheetView>
  </sheetViews>
  <sheetFormatPr defaultColWidth="20.796875" defaultRowHeight="14.25"/>
  <cols>
    <col min="1" max="1" width="4" style="3" customWidth="1"/>
    <col min="2" max="2" width="14.33203125" style="3" customWidth="1"/>
    <col min="3" max="4" width="14.19921875" style="3" hidden="1" customWidth="1"/>
    <col min="5" max="5" width="12.796875" style="3" hidden="1" customWidth="1"/>
    <col min="6" max="8" width="9.796875" style="3" hidden="1" customWidth="1"/>
    <col min="9" max="9" width="8" style="3" hidden="1" customWidth="1"/>
    <col min="10" max="10" width="5.46484375" style="3" hidden="1" customWidth="1"/>
    <col min="11" max="11" width="15.19921875" style="3" customWidth="1"/>
    <col min="12" max="12" width="14.19921875" style="3" customWidth="1"/>
    <col min="13" max="13" width="12.796875" style="3" customWidth="1"/>
    <col min="14" max="14" width="9.19921875" style="3" customWidth="1"/>
    <col min="15" max="15" width="9.53125" style="3" customWidth="1"/>
    <col min="16" max="16" width="9.796875" style="3" customWidth="1"/>
    <col min="17" max="17" width="10" style="3" bestFit="1" customWidth="1"/>
    <col min="18" max="18" width="7.53125" style="3" customWidth="1"/>
    <col min="19" max="19" width="11.796875" style="3" customWidth="1"/>
    <col min="20" max="20" width="14.19921875" style="3" customWidth="1"/>
    <col min="21" max="21" width="12.796875" style="3" customWidth="1"/>
    <col min="22" max="22" width="11.46484375" style="3" customWidth="1"/>
    <col min="23" max="23" width="9.796875" style="3" bestFit="1" customWidth="1"/>
    <col min="24" max="24" width="8.53125" style="3" customWidth="1"/>
    <col min="25" max="25" width="10" style="3" bestFit="1" customWidth="1"/>
    <col min="26" max="26" width="8" style="3" customWidth="1"/>
    <col min="27" max="27" width="13.796875" style="3" customWidth="1"/>
    <col min="28" max="28" width="14.19921875" style="3" customWidth="1"/>
    <col min="29" max="29" width="12.796875" style="3" customWidth="1"/>
    <col min="30" max="30" width="16.19921875" style="3" customWidth="1"/>
    <col min="31" max="31" width="9.796875" style="3" bestFit="1" customWidth="1"/>
    <col min="32" max="32" width="9.19921875" style="3" customWidth="1"/>
    <col min="33" max="33" width="8.19921875" style="3" customWidth="1"/>
    <col min="34" max="34" width="4.796875" style="3" customWidth="1"/>
    <col min="35" max="35" width="13.19921875" style="3" customWidth="1"/>
    <col min="36" max="36" width="14.19921875" style="3" customWidth="1"/>
    <col min="37" max="37" width="12.796875" style="3" customWidth="1"/>
    <col min="38" max="38" width="14.796875" style="3" customWidth="1"/>
    <col min="39" max="39" width="9.796875" style="3" bestFit="1" customWidth="1"/>
    <col min="40" max="40" width="9.46484375" style="3" customWidth="1"/>
    <col min="41" max="41" width="7.53125" style="3" customWidth="1"/>
    <col min="42" max="42" width="6.46484375" style="3" customWidth="1"/>
    <col min="43" max="16384" width="20.796875" style="3"/>
  </cols>
  <sheetData>
    <row r="1" spans="1:43">
      <c r="A1" s="20" t="s">
        <v>1792</v>
      </c>
      <c r="B1" s="20"/>
    </row>
    <row r="2" spans="1:43">
      <c r="A2" s="1487" t="str">
        <f>'BS1'!A2</f>
        <v>NIDP DEVELOPERS PRIVATE LIMITED</v>
      </c>
      <c r="B2" s="1487"/>
      <c r="C2" s="1487"/>
      <c r="D2" s="1487"/>
      <c r="E2" s="1487"/>
      <c r="F2" s="1487"/>
      <c r="G2" s="1487"/>
      <c r="H2" s="1487"/>
      <c r="I2" s="1487"/>
      <c r="J2" s="1487"/>
      <c r="K2" s="1487"/>
      <c r="L2" s="1487"/>
      <c r="M2" s="1487"/>
      <c r="N2" s="1487"/>
      <c r="O2" s="1487"/>
      <c r="P2" s="1487"/>
      <c r="Q2" s="1487"/>
      <c r="R2" s="1487"/>
      <c r="S2" s="1487"/>
      <c r="T2" s="1487"/>
      <c r="U2" s="1487"/>
      <c r="V2" s="1487"/>
      <c r="W2" s="1487"/>
      <c r="X2" s="1487"/>
      <c r="Y2" s="1487"/>
      <c r="Z2" s="1487"/>
      <c r="AA2" s="34"/>
      <c r="AB2" s="34"/>
      <c r="AC2" s="34"/>
      <c r="AD2" s="34"/>
      <c r="AJ2" s="34"/>
      <c r="AK2" s="34"/>
    </row>
    <row r="3" spans="1:43">
      <c r="A3" s="173" t="s">
        <v>320</v>
      </c>
      <c r="B3" s="173"/>
      <c r="C3" s="173"/>
      <c r="D3" s="173"/>
      <c r="E3" s="173"/>
      <c r="F3" s="173"/>
      <c r="G3" s="173"/>
      <c r="H3" s="173"/>
      <c r="I3" s="173"/>
      <c r="J3" s="173"/>
      <c r="K3" s="173"/>
      <c r="L3" s="173"/>
      <c r="M3" s="173"/>
      <c r="N3" s="173"/>
      <c r="O3" s="173"/>
      <c r="P3" s="1582"/>
      <c r="Q3" s="1582"/>
      <c r="R3" s="1582"/>
      <c r="S3" s="55"/>
      <c r="T3" s="173"/>
      <c r="U3" s="173"/>
      <c r="V3" s="55"/>
      <c r="W3" s="55"/>
      <c r="X3" s="55"/>
      <c r="Y3" s="55"/>
      <c r="Z3" s="55"/>
      <c r="AA3" s="55"/>
      <c r="AB3" s="173"/>
      <c r="AC3" s="173"/>
      <c r="AD3" s="55"/>
      <c r="AE3" s="1582"/>
      <c r="AF3" s="1582"/>
      <c r="AG3" s="55"/>
      <c r="AH3" s="1582"/>
      <c r="AI3" s="1582"/>
      <c r="AJ3" s="1582"/>
      <c r="AK3" s="1582"/>
      <c r="AL3" s="1582"/>
      <c r="AM3" s="1582"/>
      <c r="AN3" s="1582"/>
      <c r="AO3" s="1582"/>
      <c r="AP3" s="1582"/>
      <c r="AQ3" s="20"/>
    </row>
    <row r="4" spans="1:43">
      <c r="A4" s="14"/>
      <c r="B4" s="14"/>
      <c r="C4" s="14"/>
      <c r="D4" s="14"/>
      <c r="E4" s="14"/>
      <c r="F4" s="14"/>
      <c r="G4" s="14"/>
      <c r="H4" s="14"/>
      <c r="I4" s="14"/>
      <c r="L4" s="14"/>
      <c r="M4" s="14"/>
      <c r="P4" s="1645"/>
      <c r="Q4" s="1645"/>
      <c r="R4" s="1645"/>
      <c r="S4" s="30"/>
      <c r="T4" s="14"/>
      <c r="U4" s="14"/>
      <c r="V4" s="30"/>
      <c r="AB4" s="14"/>
      <c r="AC4" s="14"/>
      <c r="AE4" s="1645"/>
      <c r="AF4" s="1645"/>
      <c r="AG4" s="169"/>
      <c r="AH4" s="1645"/>
      <c r="AI4" s="1645"/>
      <c r="AJ4" s="1645"/>
      <c r="AK4" s="1645"/>
      <c r="AL4" s="1645"/>
      <c r="AM4" s="1645"/>
      <c r="AN4" s="1650" t="s">
        <v>1444</v>
      </c>
      <c r="AO4" s="1650"/>
      <c r="AP4" s="1650"/>
    </row>
    <row r="5" spans="1:43" s="21" customFormat="1" ht="15.75" customHeight="1">
      <c r="A5" s="1642" t="s">
        <v>1376</v>
      </c>
      <c r="B5" s="1642" t="s">
        <v>1456</v>
      </c>
      <c r="C5" s="1646" t="s">
        <v>351</v>
      </c>
      <c r="D5" s="1647"/>
      <c r="E5" s="1647"/>
      <c r="F5" s="1647"/>
      <c r="G5" s="1647"/>
      <c r="H5" s="1647"/>
      <c r="I5" s="1647"/>
      <c r="J5" s="1648"/>
      <c r="K5" s="1646" t="s">
        <v>358</v>
      </c>
      <c r="L5" s="1647"/>
      <c r="M5" s="1647"/>
      <c r="N5" s="1647"/>
      <c r="O5" s="1647"/>
      <c r="P5" s="1647"/>
      <c r="Q5" s="1647"/>
      <c r="R5" s="1647"/>
      <c r="S5" s="1647"/>
      <c r="T5" s="1647"/>
      <c r="U5" s="1647"/>
      <c r="V5" s="1647"/>
      <c r="W5" s="1647"/>
      <c r="X5" s="1647"/>
      <c r="Y5" s="1647"/>
      <c r="Z5" s="1648"/>
      <c r="AA5" s="1646" t="s">
        <v>344</v>
      </c>
      <c r="AB5" s="1647"/>
      <c r="AC5" s="1647"/>
      <c r="AD5" s="1647"/>
      <c r="AE5" s="1647"/>
      <c r="AF5" s="1647"/>
      <c r="AG5" s="1647"/>
      <c r="AH5" s="1647"/>
      <c r="AI5" s="1647" t="s">
        <v>739</v>
      </c>
      <c r="AJ5" s="1647"/>
      <c r="AK5" s="1647"/>
      <c r="AL5" s="1647"/>
      <c r="AM5" s="1647"/>
      <c r="AN5" s="1647"/>
      <c r="AO5" s="1647"/>
      <c r="AP5" s="1647"/>
    </row>
    <row r="6" spans="1:43" s="21" customFormat="1" ht="15.75" customHeight="1">
      <c r="A6" s="1643"/>
      <c r="B6" s="1643"/>
      <c r="C6" s="1649" t="s">
        <v>1459</v>
      </c>
      <c r="D6" s="1649"/>
      <c r="E6" s="1649"/>
      <c r="F6" s="1649"/>
      <c r="G6" s="1649"/>
      <c r="H6" s="1649"/>
      <c r="I6" s="1649"/>
      <c r="J6" s="1649"/>
      <c r="K6" s="1646" t="s">
        <v>343</v>
      </c>
      <c r="L6" s="1647"/>
      <c r="M6" s="1647"/>
      <c r="N6" s="1647"/>
      <c r="O6" s="1647"/>
      <c r="P6" s="1647"/>
      <c r="Q6" s="1647"/>
      <c r="R6" s="1647"/>
      <c r="S6" s="1647"/>
      <c r="T6" s="1647"/>
      <c r="U6" s="1647"/>
      <c r="V6" s="1647"/>
      <c r="W6" s="1647"/>
      <c r="X6" s="1647"/>
      <c r="Y6" s="1647"/>
      <c r="Z6" s="1648"/>
      <c r="AA6" s="1646" t="s">
        <v>1442</v>
      </c>
      <c r="AB6" s="1647"/>
      <c r="AC6" s="1647"/>
      <c r="AD6" s="1647"/>
      <c r="AE6" s="1647"/>
      <c r="AF6" s="1647"/>
      <c r="AG6" s="1647"/>
      <c r="AH6" s="1648"/>
      <c r="AI6" s="1646" t="s">
        <v>2024</v>
      </c>
      <c r="AJ6" s="1647"/>
      <c r="AK6" s="1647"/>
      <c r="AL6" s="1647"/>
      <c r="AM6" s="1647"/>
      <c r="AN6" s="1647"/>
      <c r="AO6" s="1647"/>
      <c r="AP6" s="1648"/>
    </row>
    <row r="7" spans="1:43" s="21" customFormat="1" ht="15.5" customHeight="1">
      <c r="A7" s="1643"/>
      <c r="B7" s="1643"/>
      <c r="C7" s="1649" t="s">
        <v>1385</v>
      </c>
      <c r="D7" s="1649"/>
      <c r="E7" s="1649"/>
      <c r="F7" s="1649"/>
      <c r="G7" s="1649"/>
      <c r="H7" s="1649"/>
      <c r="I7" s="1649"/>
      <c r="J7" s="1649"/>
      <c r="K7" s="1646" t="s">
        <v>337</v>
      </c>
      <c r="L7" s="1647"/>
      <c r="M7" s="1647"/>
      <c r="N7" s="1647"/>
      <c r="O7" s="1647"/>
      <c r="P7" s="1647"/>
      <c r="Q7" s="1647"/>
      <c r="R7" s="1648"/>
      <c r="S7" s="1649" t="s">
        <v>338</v>
      </c>
      <c r="T7" s="1649"/>
      <c r="U7" s="1649"/>
      <c r="V7" s="1649"/>
      <c r="W7" s="1649"/>
      <c r="X7" s="1649"/>
      <c r="Y7" s="1649"/>
      <c r="Z7" s="1649"/>
      <c r="AA7" s="1646" t="s">
        <v>183</v>
      </c>
      <c r="AB7" s="1647"/>
      <c r="AC7" s="1647"/>
      <c r="AD7" s="1647"/>
      <c r="AE7" s="1647"/>
      <c r="AF7" s="1647"/>
      <c r="AG7" s="1647"/>
      <c r="AH7" s="1648"/>
      <c r="AI7" s="1646" t="s">
        <v>183</v>
      </c>
      <c r="AJ7" s="1647"/>
      <c r="AK7" s="1647"/>
      <c r="AL7" s="1647"/>
      <c r="AM7" s="1647"/>
      <c r="AN7" s="1647"/>
      <c r="AO7" s="1647"/>
      <c r="AP7" s="1648"/>
    </row>
    <row r="8" spans="1:43" s="21" customFormat="1" ht="57">
      <c r="A8" s="1644"/>
      <c r="B8" s="1644"/>
      <c r="C8" s="146" t="s">
        <v>189</v>
      </c>
      <c r="D8" s="146" t="s">
        <v>1457</v>
      </c>
      <c r="E8" s="146" t="s">
        <v>1458</v>
      </c>
      <c r="F8" s="151" t="s">
        <v>1409</v>
      </c>
      <c r="G8" s="151" t="s">
        <v>321</v>
      </c>
      <c r="H8" s="151" t="s">
        <v>322</v>
      </c>
      <c r="I8" s="151" t="s">
        <v>603</v>
      </c>
      <c r="J8" s="151" t="s">
        <v>18</v>
      </c>
      <c r="K8" s="146" t="s">
        <v>189</v>
      </c>
      <c r="L8" s="146" t="s">
        <v>1457</v>
      </c>
      <c r="M8" s="146" t="s">
        <v>1458</v>
      </c>
      <c r="N8" s="151" t="s">
        <v>1409</v>
      </c>
      <c r="O8" s="151" t="s">
        <v>321</v>
      </c>
      <c r="P8" s="151" t="s">
        <v>322</v>
      </c>
      <c r="Q8" s="151" t="s">
        <v>603</v>
      </c>
      <c r="R8" s="151" t="s">
        <v>18</v>
      </c>
      <c r="S8" s="146" t="s">
        <v>189</v>
      </c>
      <c r="T8" s="146" t="s">
        <v>1457</v>
      </c>
      <c r="U8" s="146" t="s">
        <v>1458</v>
      </c>
      <c r="V8" s="151" t="s">
        <v>1409</v>
      </c>
      <c r="W8" s="151" t="s">
        <v>321</v>
      </c>
      <c r="X8" s="151" t="s">
        <v>322</v>
      </c>
      <c r="Y8" s="151" t="s">
        <v>603</v>
      </c>
      <c r="Z8" s="151" t="s">
        <v>18</v>
      </c>
      <c r="AA8" s="146" t="s">
        <v>189</v>
      </c>
      <c r="AB8" s="146" t="s">
        <v>1457</v>
      </c>
      <c r="AC8" s="146" t="s">
        <v>1458</v>
      </c>
      <c r="AD8" s="151" t="s">
        <v>1409</v>
      </c>
      <c r="AE8" s="151" t="s">
        <v>321</v>
      </c>
      <c r="AF8" s="151" t="s">
        <v>322</v>
      </c>
      <c r="AG8" s="151" t="s">
        <v>603</v>
      </c>
      <c r="AH8" s="151" t="s">
        <v>18</v>
      </c>
      <c r="AI8" s="146" t="s">
        <v>189</v>
      </c>
      <c r="AJ8" s="146" t="s">
        <v>1457</v>
      </c>
      <c r="AK8" s="146" t="s">
        <v>1458</v>
      </c>
      <c r="AL8" s="151" t="s">
        <v>1409</v>
      </c>
      <c r="AM8" s="151" t="s">
        <v>321</v>
      </c>
      <c r="AN8" s="151" t="s">
        <v>322</v>
      </c>
      <c r="AO8" s="151" t="s">
        <v>603</v>
      </c>
      <c r="AP8" s="151" t="s">
        <v>18</v>
      </c>
    </row>
    <row r="9" spans="1:43">
      <c r="A9" s="41"/>
      <c r="B9" s="654"/>
      <c r="C9" s="1651" t="s">
        <v>2062</v>
      </c>
      <c r="D9" s="1652"/>
      <c r="E9" s="1652"/>
      <c r="F9" s="1652"/>
      <c r="G9" s="1652"/>
      <c r="H9" s="1652"/>
      <c r="I9" s="1652"/>
      <c r="J9" s="1652"/>
      <c r="K9" s="1652"/>
      <c r="L9" s="1652"/>
      <c r="M9" s="1652"/>
      <c r="N9" s="1652"/>
      <c r="O9" s="1652"/>
      <c r="P9" s="1652"/>
      <c r="Q9" s="1652"/>
      <c r="R9" s="1652"/>
      <c r="S9" s="1652"/>
      <c r="T9" s="1652"/>
      <c r="U9" s="1652"/>
      <c r="V9" s="1652"/>
      <c r="W9" s="1652"/>
      <c r="X9" s="1652"/>
      <c r="Y9" s="1652"/>
      <c r="Z9" s="1652"/>
      <c r="AA9" s="1652"/>
      <c r="AB9" s="1652"/>
      <c r="AC9" s="1652"/>
      <c r="AD9" s="1652"/>
      <c r="AE9" s="1652"/>
      <c r="AF9" s="1652"/>
      <c r="AG9" s="1652"/>
      <c r="AH9" s="1652"/>
      <c r="AI9" s="1652"/>
      <c r="AJ9" s="1652"/>
      <c r="AK9" s="1652"/>
      <c r="AL9" s="1652"/>
      <c r="AM9" s="1652"/>
      <c r="AN9" s="1652"/>
      <c r="AO9" s="1652"/>
      <c r="AP9" s="1653"/>
    </row>
    <row r="10" spans="1:43">
      <c r="A10" s="134">
        <v>1</v>
      </c>
      <c r="B10" s="655"/>
      <c r="C10" s="1654"/>
      <c r="D10" s="1655"/>
      <c r="E10" s="1655"/>
      <c r="F10" s="1655"/>
      <c r="G10" s="1655"/>
      <c r="H10" s="1655"/>
      <c r="I10" s="1655"/>
      <c r="J10" s="1655"/>
      <c r="K10" s="1655"/>
      <c r="L10" s="1655"/>
      <c r="M10" s="1655"/>
      <c r="N10" s="1655"/>
      <c r="O10" s="1655"/>
      <c r="P10" s="1655"/>
      <c r="Q10" s="1655"/>
      <c r="R10" s="1655"/>
      <c r="S10" s="1655"/>
      <c r="T10" s="1655"/>
      <c r="U10" s="1655"/>
      <c r="V10" s="1655"/>
      <c r="W10" s="1655"/>
      <c r="X10" s="1655"/>
      <c r="Y10" s="1655"/>
      <c r="Z10" s="1655"/>
      <c r="AA10" s="1655"/>
      <c r="AB10" s="1655"/>
      <c r="AC10" s="1655"/>
      <c r="AD10" s="1655"/>
      <c r="AE10" s="1655"/>
      <c r="AF10" s="1655"/>
      <c r="AG10" s="1655"/>
      <c r="AH10" s="1655"/>
      <c r="AI10" s="1655"/>
      <c r="AJ10" s="1655"/>
      <c r="AK10" s="1655"/>
      <c r="AL10" s="1655"/>
      <c r="AM10" s="1655"/>
      <c r="AN10" s="1655"/>
      <c r="AO10" s="1655"/>
      <c r="AP10" s="1656"/>
    </row>
    <row r="11" spans="1:43">
      <c r="A11" s="134">
        <v>2</v>
      </c>
      <c r="B11" s="655"/>
      <c r="C11" s="1654"/>
      <c r="D11" s="1655"/>
      <c r="E11" s="1655"/>
      <c r="F11" s="1655"/>
      <c r="G11" s="1655"/>
      <c r="H11" s="1655"/>
      <c r="I11" s="1655"/>
      <c r="J11" s="1655"/>
      <c r="K11" s="1655"/>
      <c r="L11" s="1655"/>
      <c r="M11" s="1655"/>
      <c r="N11" s="1655"/>
      <c r="O11" s="1655"/>
      <c r="P11" s="1655"/>
      <c r="Q11" s="1655"/>
      <c r="R11" s="1655"/>
      <c r="S11" s="1655"/>
      <c r="T11" s="1655"/>
      <c r="U11" s="1655"/>
      <c r="V11" s="1655"/>
      <c r="W11" s="1655"/>
      <c r="X11" s="1655"/>
      <c r="Y11" s="1655"/>
      <c r="Z11" s="1655"/>
      <c r="AA11" s="1655"/>
      <c r="AB11" s="1655"/>
      <c r="AC11" s="1655"/>
      <c r="AD11" s="1655"/>
      <c r="AE11" s="1655"/>
      <c r="AF11" s="1655"/>
      <c r="AG11" s="1655"/>
      <c r="AH11" s="1655"/>
      <c r="AI11" s="1655"/>
      <c r="AJ11" s="1655"/>
      <c r="AK11" s="1655"/>
      <c r="AL11" s="1655"/>
      <c r="AM11" s="1655"/>
      <c r="AN11" s="1655"/>
      <c r="AO11" s="1655"/>
      <c r="AP11" s="1656"/>
    </row>
    <row r="12" spans="1:43">
      <c r="A12" s="134">
        <v>3</v>
      </c>
      <c r="B12" s="655"/>
      <c r="C12" s="1654"/>
      <c r="D12" s="1655"/>
      <c r="E12" s="1655"/>
      <c r="F12" s="1655"/>
      <c r="G12" s="1655"/>
      <c r="H12" s="1655"/>
      <c r="I12" s="1655"/>
      <c r="J12" s="1655"/>
      <c r="K12" s="1655"/>
      <c r="L12" s="1655"/>
      <c r="M12" s="1655"/>
      <c r="N12" s="1655"/>
      <c r="O12" s="1655"/>
      <c r="P12" s="1655"/>
      <c r="Q12" s="1655"/>
      <c r="R12" s="1655"/>
      <c r="S12" s="1655"/>
      <c r="T12" s="1655"/>
      <c r="U12" s="1655"/>
      <c r="V12" s="1655"/>
      <c r="W12" s="1655"/>
      <c r="X12" s="1655"/>
      <c r="Y12" s="1655"/>
      <c r="Z12" s="1655"/>
      <c r="AA12" s="1655"/>
      <c r="AB12" s="1655"/>
      <c r="AC12" s="1655"/>
      <c r="AD12" s="1655"/>
      <c r="AE12" s="1655"/>
      <c r="AF12" s="1655"/>
      <c r="AG12" s="1655"/>
      <c r="AH12" s="1655"/>
      <c r="AI12" s="1655"/>
      <c r="AJ12" s="1655"/>
      <c r="AK12" s="1655"/>
      <c r="AL12" s="1655"/>
      <c r="AM12" s="1655"/>
      <c r="AN12" s="1655"/>
      <c r="AO12" s="1655"/>
      <c r="AP12" s="1656"/>
    </row>
    <row r="13" spans="1:43">
      <c r="A13" s="43"/>
      <c r="B13" s="136"/>
      <c r="C13" s="1654"/>
      <c r="D13" s="1655"/>
      <c r="E13" s="1655"/>
      <c r="F13" s="1655"/>
      <c r="G13" s="1655"/>
      <c r="H13" s="1655"/>
      <c r="I13" s="1655"/>
      <c r="J13" s="1655"/>
      <c r="K13" s="1655"/>
      <c r="L13" s="1655"/>
      <c r="M13" s="1655"/>
      <c r="N13" s="1655"/>
      <c r="O13" s="1655"/>
      <c r="P13" s="1655"/>
      <c r="Q13" s="1655"/>
      <c r="R13" s="1655"/>
      <c r="S13" s="1655"/>
      <c r="T13" s="1655"/>
      <c r="U13" s="1655"/>
      <c r="V13" s="1655"/>
      <c r="W13" s="1655"/>
      <c r="X13" s="1655"/>
      <c r="Y13" s="1655"/>
      <c r="Z13" s="1655"/>
      <c r="AA13" s="1655"/>
      <c r="AB13" s="1655"/>
      <c r="AC13" s="1655"/>
      <c r="AD13" s="1655"/>
      <c r="AE13" s="1655"/>
      <c r="AF13" s="1655"/>
      <c r="AG13" s="1655"/>
      <c r="AH13" s="1655"/>
      <c r="AI13" s="1655"/>
      <c r="AJ13" s="1655"/>
      <c r="AK13" s="1655"/>
      <c r="AL13" s="1655"/>
      <c r="AM13" s="1655"/>
      <c r="AN13" s="1655"/>
      <c r="AO13" s="1655"/>
      <c r="AP13" s="1656"/>
    </row>
    <row r="14" spans="1:43">
      <c r="A14" s="43"/>
      <c r="B14" s="136"/>
      <c r="C14" s="1654"/>
      <c r="D14" s="1655"/>
      <c r="E14" s="1655"/>
      <c r="F14" s="1655"/>
      <c r="G14" s="1655"/>
      <c r="H14" s="1655"/>
      <c r="I14" s="1655"/>
      <c r="J14" s="1655"/>
      <c r="K14" s="1655"/>
      <c r="L14" s="1655"/>
      <c r="M14" s="1655"/>
      <c r="N14" s="1655"/>
      <c r="O14" s="1655"/>
      <c r="P14" s="1655"/>
      <c r="Q14" s="1655"/>
      <c r="R14" s="1655"/>
      <c r="S14" s="1655"/>
      <c r="T14" s="1655"/>
      <c r="U14" s="1655"/>
      <c r="V14" s="1655"/>
      <c r="W14" s="1655"/>
      <c r="X14" s="1655"/>
      <c r="Y14" s="1655"/>
      <c r="Z14" s="1655"/>
      <c r="AA14" s="1655"/>
      <c r="AB14" s="1655"/>
      <c r="AC14" s="1655"/>
      <c r="AD14" s="1655"/>
      <c r="AE14" s="1655"/>
      <c r="AF14" s="1655"/>
      <c r="AG14" s="1655"/>
      <c r="AH14" s="1655"/>
      <c r="AI14" s="1655"/>
      <c r="AJ14" s="1655"/>
      <c r="AK14" s="1655"/>
      <c r="AL14" s="1655"/>
      <c r="AM14" s="1655"/>
      <c r="AN14" s="1655"/>
      <c r="AO14" s="1655"/>
      <c r="AP14" s="1656"/>
    </row>
    <row r="15" spans="1:43">
      <c r="A15" s="43"/>
      <c r="B15" s="136"/>
      <c r="C15" s="1657"/>
      <c r="D15" s="1658"/>
      <c r="E15" s="1658"/>
      <c r="F15" s="1658"/>
      <c r="G15" s="1658"/>
      <c r="H15" s="1658"/>
      <c r="I15" s="1658"/>
      <c r="J15" s="1658"/>
      <c r="K15" s="1658"/>
      <c r="L15" s="1658"/>
      <c r="M15" s="1658"/>
      <c r="N15" s="1658"/>
      <c r="O15" s="1658"/>
      <c r="P15" s="1658"/>
      <c r="Q15" s="1658"/>
      <c r="R15" s="1658"/>
      <c r="S15" s="1658"/>
      <c r="T15" s="1658"/>
      <c r="U15" s="1658"/>
      <c r="V15" s="1658"/>
      <c r="W15" s="1658"/>
      <c r="X15" s="1658"/>
      <c r="Y15" s="1658"/>
      <c r="Z15" s="1658"/>
      <c r="AA15" s="1658"/>
      <c r="AB15" s="1658"/>
      <c r="AC15" s="1658"/>
      <c r="AD15" s="1658"/>
      <c r="AE15" s="1658"/>
      <c r="AF15" s="1658"/>
      <c r="AG15" s="1658"/>
      <c r="AH15" s="1658"/>
      <c r="AI15" s="1658"/>
      <c r="AJ15" s="1658"/>
      <c r="AK15" s="1658"/>
      <c r="AL15" s="1658"/>
      <c r="AM15" s="1658"/>
      <c r="AN15" s="1658"/>
      <c r="AO15" s="1658"/>
      <c r="AP15" s="1659"/>
    </row>
    <row r="16" spans="1:43">
      <c r="C16" s="128"/>
      <c r="D16" s="128"/>
      <c r="E16" s="128"/>
      <c r="F16" s="128"/>
      <c r="G16" s="128"/>
      <c r="H16" s="20"/>
      <c r="I16" s="20"/>
      <c r="J16" s="20"/>
      <c r="K16" s="20"/>
      <c r="L16" s="128"/>
      <c r="M16" s="128"/>
      <c r="N16" s="20"/>
      <c r="T16" s="128"/>
      <c r="U16" s="128"/>
      <c r="AB16" s="128"/>
      <c r="AC16" s="128"/>
      <c r="AJ16" s="128"/>
      <c r="AK16" s="128"/>
    </row>
    <row r="17" spans="3:30">
      <c r="C17" s="1507"/>
      <c r="D17" s="1507"/>
      <c r="E17" s="1507"/>
      <c r="F17" s="1507"/>
      <c r="G17" s="1507"/>
      <c r="H17" s="1507"/>
      <c r="I17" s="1507"/>
      <c r="J17" s="1507"/>
      <c r="K17" s="1507"/>
      <c r="L17" s="1507"/>
      <c r="M17" s="1507"/>
      <c r="N17" s="1507"/>
      <c r="O17" s="1507"/>
      <c r="P17" s="1507"/>
    </row>
    <row r="19" spans="3:30">
      <c r="W19" s="20"/>
      <c r="X19" s="20"/>
      <c r="Y19" s="20"/>
      <c r="Z19" s="20"/>
      <c r="AA19" s="20"/>
      <c r="AD19" s="20"/>
    </row>
  </sheetData>
  <mergeCells count="26">
    <mergeCell ref="AA5:AH5"/>
    <mergeCell ref="AI5:AP5"/>
    <mergeCell ref="C17:P17"/>
    <mergeCell ref="AA6:AH6"/>
    <mergeCell ref="AA7:AH7"/>
    <mergeCell ref="AI6:AP6"/>
    <mergeCell ref="AI7:AP7"/>
    <mergeCell ref="C9:AP15"/>
    <mergeCell ref="AE3:AF3"/>
    <mergeCell ref="AE4:AF4"/>
    <mergeCell ref="AN3:AP3"/>
    <mergeCell ref="AH3:AM3"/>
    <mergeCell ref="AH4:AM4"/>
    <mergeCell ref="AN4:AP4"/>
    <mergeCell ref="A5:A8"/>
    <mergeCell ref="A2:Z2"/>
    <mergeCell ref="P3:R3"/>
    <mergeCell ref="P4:R4"/>
    <mergeCell ref="C5:J5"/>
    <mergeCell ref="C6:J6"/>
    <mergeCell ref="C7:J7"/>
    <mergeCell ref="K5:Z5"/>
    <mergeCell ref="K6:Z6"/>
    <mergeCell ref="K7:R7"/>
    <mergeCell ref="S7:Z7"/>
    <mergeCell ref="B5:B8"/>
  </mergeCells>
  <printOptions horizontalCentered="1"/>
  <pageMargins left="0.23622047244094491" right="0.19685039370078741" top="0.51181102362204722" bottom="0.51181102362204722" header="0.31496062992125984" footer="0.31496062992125984"/>
  <pageSetup paperSize="5" scale="46" orientation="landscape" r:id="rId1"/>
  <colBreaks count="1" manualBreakCount="1">
    <brk id="31" max="16"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FFFF"/>
    <pageSetUpPr fitToPage="1"/>
  </sheetPr>
  <dimension ref="A1:AJ24"/>
  <sheetViews>
    <sheetView zoomScaleNormal="100" zoomScaleSheetLayoutView="71" workbookViewId="0">
      <selection activeCell="T96" sqref="T96"/>
    </sheetView>
  </sheetViews>
  <sheetFormatPr defaultRowHeight="14.25"/>
  <cols>
    <col min="1" max="1" width="3.796875" style="3" customWidth="1"/>
    <col min="2" max="2" width="33.53125" style="3" bestFit="1" customWidth="1"/>
    <col min="3" max="3" width="8.19921875" style="3" hidden="1" customWidth="1"/>
    <col min="4" max="4" width="10.53125" style="3" hidden="1" customWidth="1"/>
    <col min="5" max="5" width="9" style="3" hidden="1" customWidth="1"/>
    <col min="6" max="6" width="8.19921875" style="3" hidden="1" customWidth="1"/>
    <col min="7" max="7" width="10.53125" style="3" hidden="1" customWidth="1"/>
    <col min="8" max="8" width="9" style="3" hidden="1" customWidth="1"/>
    <col min="9" max="9" width="8.19921875" style="3" hidden="1" customWidth="1"/>
    <col min="10" max="10" width="10.53125" style="3" hidden="1" customWidth="1"/>
    <col min="11" max="11" width="9" style="3" hidden="1" customWidth="1"/>
    <col min="12" max="12" width="8.19921875" style="3" hidden="1" customWidth="1"/>
    <col min="13" max="13" width="10.53125" style="3" hidden="1" customWidth="1"/>
    <col min="14" max="14" width="9" style="3" hidden="1" customWidth="1"/>
    <col min="15" max="15" width="8.19921875" style="3" hidden="1" customWidth="1"/>
    <col min="16" max="16" width="10.53125" style="3" hidden="1" customWidth="1"/>
    <col min="17" max="17" width="9" style="3" hidden="1" customWidth="1"/>
    <col min="18" max="18" width="8.19921875" style="3" hidden="1" customWidth="1"/>
    <col min="19" max="19" width="10.53125" style="3" hidden="1" customWidth="1"/>
    <col min="20" max="20" width="9" style="3" hidden="1" customWidth="1"/>
    <col min="21" max="21" width="8.19921875" style="3" customWidth="1"/>
    <col min="22" max="22" width="11.46484375" style="3" customWidth="1"/>
    <col min="23" max="23" width="8.796875" style="3" bestFit="1" customWidth="1"/>
    <col min="24" max="24" width="8.46484375" style="3" customWidth="1"/>
    <col min="25" max="25" width="9.46484375" style="3" bestFit="1" customWidth="1"/>
    <col min="26" max="26" width="8.796875" style="3" bestFit="1" customWidth="1"/>
    <col min="27" max="27" width="8.19921875" style="3" customWidth="1"/>
    <col min="28" max="28" width="10.53125" style="3" bestFit="1" customWidth="1"/>
    <col min="29" max="29" width="8.46484375" style="3" customWidth="1"/>
    <col min="30" max="30" width="8.796875" style="3" customWidth="1"/>
    <col min="31" max="31" width="10.53125" style="3" bestFit="1" customWidth="1"/>
    <col min="32" max="32" width="8.796875" style="3" bestFit="1" customWidth="1"/>
    <col min="33" max="33" width="7.796875" style="3" customWidth="1"/>
    <col min="34" max="34" width="10.19921875" style="3" customWidth="1"/>
    <col min="35" max="35" width="8.46484375" style="3" customWidth="1"/>
    <col min="36" max="36" width="33.796875" style="3" customWidth="1"/>
    <col min="37" max="255" width="9.19921875" style="3"/>
    <col min="256" max="256" width="3.796875" style="3" customWidth="1"/>
    <col min="257" max="257" width="44.796875" style="3" customWidth="1"/>
    <col min="258" max="259" width="0" style="3" hidden="1" customWidth="1"/>
    <col min="260" max="260" width="9.796875" style="3" customWidth="1"/>
    <col min="261" max="261" width="10.796875" style="3" customWidth="1"/>
    <col min="262" max="262" width="12.796875" style="3" customWidth="1"/>
    <col min="263" max="263" width="10.19921875" style="3" customWidth="1"/>
    <col min="264" max="264" width="10.796875" style="3" customWidth="1"/>
    <col min="265" max="265" width="12" style="3" customWidth="1"/>
    <col min="266" max="266" width="8.19921875" style="3" customWidth="1"/>
    <col min="267" max="267" width="12.19921875" style="3" customWidth="1"/>
    <col min="268" max="268" width="12.46484375" style="3" customWidth="1"/>
    <col min="269" max="269" width="8.19921875" style="3" customWidth="1"/>
    <col min="270" max="270" width="11.46484375" style="3" customWidth="1"/>
    <col min="271" max="271" width="13" style="3" customWidth="1"/>
    <col min="272" max="272" width="8" style="3" customWidth="1"/>
    <col min="273" max="273" width="12.19921875" style="3" customWidth="1"/>
    <col min="274" max="274" width="12.46484375" style="3" customWidth="1"/>
    <col min="275" max="275" width="9.19921875" style="3" customWidth="1"/>
    <col min="276" max="276" width="11.46484375" style="3" customWidth="1"/>
    <col min="277" max="277" width="12.53125" style="3" customWidth="1"/>
    <col min="278" max="278" width="10.19921875" style="3" customWidth="1"/>
    <col min="279" max="280" width="12" style="3" bestFit="1" customWidth="1"/>
    <col min="281" max="282" width="11" style="3" customWidth="1"/>
    <col min="283" max="283" width="12.46484375" style="3" customWidth="1"/>
    <col min="284" max="284" width="9.53125" style="3" customWidth="1"/>
    <col min="285" max="285" width="11.19921875" style="3" customWidth="1"/>
    <col min="286" max="289" width="12" style="3" customWidth="1"/>
    <col min="290" max="290" width="9.19921875" style="3"/>
    <col min="291" max="291" width="20.19921875" style="3" customWidth="1"/>
    <col min="292" max="292" width="33.796875" style="3" customWidth="1"/>
    <col min="293" max="511" width="9.19921875" style="3"/>
    <col min="512" max="512" width="3.796875" style="3" customWidth="1"/>
    <col min="513" max="513" width="44.796875" style="3" customWidth="1"/>
    <col min="514" max="515" width="0" style="3" hidden="1" customWidth="1"/>
    <col min="516" max="516" width="9.796875" style="3" customWidth="1"/>
    <col min="517" max="517" width="10.796875" style="3" customWidth="1"/>
    <col min="518" max="518" width="12.796875" style="3" customWidth="1"/>
    <col min="519" max="519" width="10.19921875" style="3" customWidth="1"/>
    <col min="520" max="520" width="10.796875" style="3" customWidth="1"/>
    <col min="521" max="521" width="12" style="3" customWidth="1"/>
    <col min="522" max="522" width="8.19921875" style="3" customWidth="1"/>
    <col min="523" max="523" width="12.19921875" style="3" customWidth="1"/>
    <col min="524" max="524" width="12.46484375" style="3" customWidth="1"/>
    <col min="525" max="525" width="8.19921875" style="3" customWidth="1"/>
    <col min="526" max="526" width="11.46484375" style="3" customWidth="1"/>
    <col min="527" max="527" width="13" style="3" customWidth="1"/>
    <col min="528" max="528" width="8" style="3" customWidth="1"/>
    <col min="529" max="529" width="12.19921875" style="3" customWidth="1"/>
    <col min="530" max="530" width="12.46484375" style="3" customWidth="1"/>
    <col min="531" max="531" width="9.19921875" style="3" customWidth="1"/>
    <col min="532" max="532" width="11.46484375" style="3" customWidth="1"/>
    <col min="533" max="533" width="12.53125" style="3" customWidth="1"/>
    <col min="534" max="534" width="10.19921875" style="3" customWidth="1"/>
    <col min="535" max="536" width="12" style="3" bestFit="1" customWidth="1"/>
    <col min="537" max="538" width="11" style="3" customWidth="1"/>
    <col min="539" max="539" width="12.46484375" style="3" customWidth="1"/>
    <col min="540" max="540" width="9.53125" style="3" customWidth="1"/>
    <col min="541" max="541" width="11.19921875" style="3" customWidth="1"/>
    <col min="542" max="545" width="12" style="3" customWidth="1"/>
    <col min="546" max="546" width="9.19921875" style="3"/>
    <col min="547" max="547" width="20.19921875" style="3" customWidth="1"/>
    <col min="548" max="548" width="33.796875" style="3" customWidth="1"/>
    <col min="549" max="767" width="9.19921875" style="3"/>
    <col min="768" max="768" width="3.796875" style="3" customWidth="1"/>
    <col min="769" max="769" width="44.796875" style="3" customWidth="1"/>
    <col min="770" max="771" width="0" style="3" hidden="1" customWidth="1"/>
    <col min="772" max="772" width="9.796875" style="3" customWidth="1"/>
    <col min="773" max="773" width="10.796875" style="3" customWidth="1"/>
    <col min="774" max="774" width="12.796875" style="3" customWidth="1"/>
    <col min="775" max="775" width="10.19921875" style="3" customWidth="1"/>
    <col min="776" max="776" width="10.796875" style="3" customWidth="1"/>
    <col min="777" max="777" width="12" style="3" customWidth="1"/>
    <col min="778" max="778" width="8.19921875" style="3" customWidth="1"/>
    <col min="779" max="779" width="12.19921875" style="3" customWidth="1"/>
    <col min="780" max="780" width="12.46484375" style="3" customWidth="1"/>
    <col min="781" max="781" width="8.19921875" style="3" customWidth="1"/>
    <col min="782" max="782" width="11.46484375" style="3" customWidth="1"/>
    <col min="783" max="783" width="13" style="3" customWidth="1"/>
    <col min="784" max="784" width="8" style="3" customWidth="1"/>
    <col min="785" max="785" width="12.19921875" style="3" customWidth="1"/>
    <col min="786" max="786" width="12.46484375" style="3" customWidth="1"/>
    <col min="787" max="787" width="9.19921875" style="3" customWidth="1"/>
    <col min="788" max="788" width="11.46484375" style="3" customWidth="1"/>
    <col min="789" max="789" width="12.53125" style="3" customWidth="1"/>
    <col min="790" max="790" width="10.19921875" style="3" customWidth="1"/>
    <col min="791" max="792" width="12" style="3" bestFit="1" customWidth="1"/>
    <col min="793" max="794" width="11" style="3" customWidth="1"/>
    <col min="795" max="795" width="12.46484375" style="3" customWidth="1"/>
    <col min="796" max="796" width="9.53125" style="3" customWidth="1"/>
    <col min="797" max="797" width="11.19921875" style="3" customWidth="1"/>
    <col min="798" max="801" width="12" style="3" customWidth="1"/>
    <col min="802" max="802" width="9.19921875" style="3"/>
    <col min="803" max="803" width="20.19921875" style="3" customWidth="1"/>
    <col min="804" max="804" width="33.796875" style="3" customWidth="1"/>
    <col min="805" max="1023" width="9.19921875" style="3"/>
    <col min="1024" max="1024" width="3.796875" style="3" customWidth="1"/>
    <col min="1025" max="1025" width="44.796875" style="3" customWidth="1"/>
    <col min="1026" max="1027" width="0" style="3" hidden="1" customWidth="1"/>
    <col min="1028" max="1028" width="9.796875" style="3" customWidth="1"/>
    <col min="1029" max="1029" width="10.796875" style="3" customWidth="1"/>
    <col min="1030" max="1030" width="12.796875" style="3" customWidth="1"/>
    <col min="1031" max="1031" width="10.19921875" style="3" customWidth="1"/>
    <col min="1032" max="1032" width="10.796875" style="3" customWidth="1"/>
    <col min="1033" max="1033" width="12" style="3" customWidth="1"/>
    <col min="1034" max="1034" width="8.19921875" style="3" customWidth="1"/>
    <col min="1035" max="1035" width="12.19921875" style="3" customWidth="1"/>
    <col min="1036" max="1036" width="12.46484375" style="3" customWidth="1"/>
    <col min="1037" max="1037" width="8.19921875" style="3" customWidth="1"/>
    <col min="1038" max="1038" width="11.46484375" style="3" customWidth="1"/>
    <col min="1039" max="1039" width="13" style="3" customWidth="1"/>
    <col min="1040" max="1040" width="8" style="3" customWidth="1"/>
    <col min="1041" max="1041" width="12.19921875" style="3" customWidth="1"/>
    <col min="1042" max="1042" width="12.46484375" style="3" customWidth="1"/>
    <col min="1043" max="1043" width="9.19921875" style="3" customWidth="1"/>
    <col min="1044" max="1044" width="11.46484375" style="3" customWidth="1"/>
    <col min="1045" max="1045" width="12.53125" style="3" customWidth="1"/>
    <col min="1046" max="1046" width="10.19921875" style="3" customWidth="1"/>
    <col min="1047" max="1048" width="12" style="3" bestFit="1" customWidth="1"/>
    <col min="1049" max="1050" width="11" style="3" customWidth="1"/>
    <col min="1051" max="1051" width="12.46484375" style="3" customWidth="1"/>
    <col min="1052" max="1052" width="9.53125" style="3" customWidth="1"/>
    <col min="1053" max="1053" width="11.19921875" style="3" customWidth="1"/>
    <col min="1054" max="1057" width="12" style="3" customWidth="1"/>
    <col min="1058" max="1058" width="9.19921875" style="3"/>
    <col min="1059" max="1059" width="20.19921875" style="3" customWidth="1"/>
    <col min="1060" max="1060" width="33.796875" style="3" customWidth="1"/>
    <col min="1061" max="1279" width="9.19921875" style="3"/>
    <col min="1280" max="1280" width="3.796875" style="3" customWidth="1"/>
    <col min="1281" max="1281" width="44.796875" style="3" customWidth="1"/>
    <col min="1282" max="1283" width="0" style="3" hidden="1" customWidth="1"/>
    <col min="1284" max="1284" width="9.796875" style="3" customWidth="1"/>
    <col min="1285" max="1285" width="10.796875" style="3" customWidth="1"/>
    <col min="1286" max="1286" width="12.796875" style="3" customWidth="1"/>
    <col min="1287" max="1287" width="10.19921875" style="3" customWidth="1"/>
    <col min="1288" max="1288" width="10.796875" style="3" customWidth="1"/>
    <col min="1289" max="1289" width="12" style="3" customWidth="1"/>
    <col min="1290" max="1290" width="8.19921875" style="3" customWidth="1"/>
    <col min="1291" max="1291" width="12.19921875" style="3" customWidth="1"/>
    <col min="1292" max="1292" width="12.46484375" style="3" customWidth="1"/>
    <col min="1293" max="1293" width="8.19921875" style="3" customWidth="1"/>
    <col min="1294" max="1294" width="11.46484375" style="3" customWidth="1"/>
    <col min="1295" max="1295" width="13" style="3" customWidth="1"/>
    <col min="1296" max="1296" width="8" style="3" customWidth="1"/>
    <col min="1297" max="1297" width="12.19921875" style="3" customWidth="1"/>
    <col min="1298" max="1298" width="12.46484375" style="3" customWidth="1"/>
    <col min="1299" max="1299" width="9.19921875" style="3" customWidth="1"/>
    <col min="1300" max="1300" width="11.46484375" style="3" customWidth="1"/>
    <col min="1301" max="1301" width="12.53125" style="3" customWidth="1"/>
    <col min="1302" max="1302" width="10.19921875" style="3" customWidth="1"/>
    <col min="1303" max="1304" width="12" style="3" bestFit="1" customWidth="1"/>
    <col min="1305" max="1306" width="11" style="3" customWidth="1"/>
    <col min="1307" max="1307" width="12.46484375" style="3" customWidth="1"/>
    <col min="1308" max="1308" width="9.53125" style="3" customWidth="1"/>
    <col min="1309" max="1309" width="11.19921875" style="3" customWidth="1"/>
    <col min="1310" max="1313" width="12" style="3" customWidth="1"/>
    <col min="1314" max="1314" width="9.19921875" style="3"/>
    <col min="1315" max="1315" width="20.19921875" style="3" customWidth="1"/>
    <col min="1316" max="1316" width="33.796875" style="3" customWidth="1"/>
    <col min="1317" max="1535" width="9.19921875" style="3"/>
    <col min="1536" max="1536" width="3.796875" style="3" customWidth="1"/>
    <col min="1537" max="1537" width="44.796875" style="3" customWidth="1"/>
    <col min="1538" max="1539" width="0" style="3" hidden="1" customWidth="1"/>
    <col min="1540" max="1540" width="9.796875" style="3" customWidth="1"/>
    <col min="1541" max="1541" width="10.796875" style="3" customWidth="1"/>
    <col min="1542" max="1542" width="12.796875" style="3" customWidth="1"/>
    <col min="1543" max="1543" width="10.19921875" style="3" customWidth="1"/>
    <col min="1544" max="1544" width="10.796875" style="3" customWidth="1"/>
    <col min="1545" max="1545" width="12" style="3" customWidth="1"/>
    <col min="1546" max="1546" width="8.19921875" style="3" customWidth="1"/>
    <col min="1547" max="1547" width="12.19921875" style="3" customWidth="1"/>
    <col min="1548" max="1548" width="12.46484375" style="3" customWidth="1"/>
    <col min="1549" max="1549" width="8.19921875" style="3" customWidth="1"/>
    <col min="1550" max="1550" width="11.46484375" style="3" customWidth="1"/>
    <col min="1551" max="1551" width="13" style="3" customWidth="1"/>
    <col min="1552" max="1552" width="8" style="3" customWidth="1"/>
    <col min="1553" max="1553" width="12.19921875" style="3" customWidth="1"/>
    <col min="1554" max="1554" width="12.46484375" style="3" customWidth="1"/>
    <col min="1555" max="1555" width="9.19921875" style="3" customWidth="1"/>
    <col min="1556" max="1556" width="11.46484375" style="3" customWidth="1"/>
    <col min="1557" max="1557" width="12.53125" style="3" customWidth="1"/>
    <col min="1558" max="1558" width="10.19921875" style="3" customWidth="1"/>
    <col min="1559" max="1560" width="12" style="3" bestFit="1" customWidth="1"/>
    <col min="1561" max="1562" width="11" style="3" customWidth="1"/>
    <col min="1563" max="1563" width="12.46484375" style="3" customWidth="1"/>
    <col min="1564" max="1564" width="9.53125" style="3" customWidth="1"/>
    <col min="1565" max="1565" width="11.19921875" style="3" customWidth="1"/>
    <col min="1566" max="1569" width="12" style="3" customWidth="1"/>
    <col min="1570" max="1570" width="9.19921875" style="3"/>
    <col min="1571" max="1571" width="20.19921875" style="3" customWidth="1"/>
    <col min="1572" max="1572" width="33.796875" style="3" customWidth="1"/>
    <col min="1573" max="1791" width="9.19921875" style="3"/>
    <col min="1792" max="1792" width="3.796875" style="3" customWidth="1"/>
    <col min="1793" max="1793" width="44.796875" style="3" customWidth="1"/>
    <col min="1794" max="1795" width="0" style="3" hidden="1" customWidth="1"/>
    <col min="1796" max="1796" width="9.796875" style="3" customWidth="1"/>
    <col min="1797" max="1797" width="10.796875" style="3" customWidth="1"/>
    <col min="1798" max="1798" width="12.796875" style="3" customWidth="1"/>
    <col min="1799" max="1799" width="10.19921875" style="3" customWidth="1"/>
    <col min="1800" max="1800" width="10.796875" style="3" customWidth="1"/>
    <col min="1801" max="1801" width="12" style="3" customWidth="1"/>
    <col min="1802" max="1802" width="8.19921875" style="3" customWidth="1"/>
    <col min="1803" max="1803" width="12.19921875" style="3" customWidth="1"/>
    <col min="1804" max="1804" width="12.46484375" style="3" customWidth="1"/>
    <col min="1805" max="1805" width="8.19921875" style="3" customWidth="1"/>
    <col min="1806" max="1806" width="11.46484375" style="3" customWidth="1"/>
    <col min="1807" max="1807" width="13" style="3" customWidth="1"/>
    <col min="1808" max="1808" width="8" style="3" customWidth="1"/>
    <col min="1809" max="1809" width="12.19921875" style="3" customWidth="1"/>
    <col min="1810" max="1810" width="12.46484375" style="3" customWidth="1"/>
    <col min="1811" max="1811" width="9.19921875" style="3" customWidth="1"/>
    <col min="1812" max="1812" width="11.46484375" style="3" customWidth="1"/>
    <col min="1813" max="1813" width="12.53125" style="3" customWidth="1"/>
    <col min="1814" max="1814" width="10.19921875" style="3" customWidth="1"/>
    <col min="1815" max="1816" width="12" style="3" bestFit="1" customWidth="1"/>
    <col min="1817" max="1818" width="11" style="3" customWidth="1"/>
    <col min="1819" max="1819" width="12.46484375" style="3" customWidth="1"/>
    <col min="1820" max="1820" width="9.53125" style="3" customWidth="1"/>
    <col min="1821" max="1821" width="11.19921875" style="3" customWidth="1"/>
    <col min="1822" max="1825" width="12" style="3" customWidth="1"/>
    <col min="1826" max="1826" width="9.19921875" style="3"/>
    <col min="1827" max="1827" width="20.19921875" style="3" customWidth="1"/>
    <col min="1828" max="1828" width="33.796875" style="3" customWidth="1"/>
    <col min="1829" max="2047" width="9.19921875" style="3"/>
    <col min="2048" max="2048" width="3.796875" style="3" customWidth="1"/>
    <col min="2049" max="2049" width="44.796875" style="3" customWidth="1"/>
    <col min="2050" max="2051" width="0" style="3" hidden="1" customWidth="1"/>
    <col min="2052" max="2052" width="9.796875" style="3" customWidth="1"/>
    <col min="2053" max="2053" width="10.796875" style="3" customWidth="1"/>
    <col min="2054" max="2054" width="12.796875" style="3" customWidth="1"/>
    <col min="2055" max="2055" width="10.19921875" style="3" customWidth="1"/>
    <col min="2056" max="2056" width="10.796875" style="3" customWidth="1"/>
    <col min="2057" max="2057" width="12" style="3" customWidth="1"/>
    <col min="2058" max="2058" width="8.19921875" style="3" customWidth="1"/>
    <col min="2059" max="2059" width="12.19921875" style="3" customWidth="1"/>
    <col min="2060" max="2060" width="12.46484375" style="3" customWidth="1"/>
    <col min="2061" max="2061" width="8.19921875" style="3" customWidth="1"/>
    <col min="2062" max="2062" width="11.46484375" style="3" customWidth="1"/>
    <col min="2063" max="2063" width="13" style="3" customWidth="1"/>
    <col min="2064" max="2064" width="8" style="3" customWidth="1"/>
    <col min="2065" max="2065" width="12.19921875" style="3" customWidth="1"/>
    <col min="2066" max="2066" width="12.46484375" style="3" customWidth="1"/>
    <col min="2067" max="2067" width="9.19921875" style="3" customWidth="1"/>
    <col min="2068" max="2068" width="11.46484375" style="3" customWidth="1"/>
    <col min="2069" max="2069" width="12.53125" style="3" customWidth="1"/>
    <col min="2070" max="2070" width="10.19921875" style="3" customWidth="1"/>
    <col min="2071" max="2072" width="12" style="3" bestFit="1" customWidth="1"/>
    <col min="2073" max="2074" width="11" style="3" customWidth="1"/>
    <col min="2075" max="2075" width="12.46484375" style="3" customWidth="1"/>
    <col min="2076" max="2076" width="9.53125" style="3" customWidth="1"/>
    <col min="2077" max="2077" width="11.19921875" style="3" customWidth="1"/>
    <col min="2078" max="2081" width="12" style="3" customWidth="1"/>
    <col min="2082" max="2082" width="9.19921875" style="3"/>
    <col min="2083" max="2083" width="20.19921875" style="3" customWidth="1"/>
    <col min="2084" max="2084" width="33.796875" style="3" customWidth="1"/>
    <col min="2085" max="2303" width="9.19921875" style="3"/>
    <col min="2304" max="2304" width="3.796875" style="3" customWidth="1"/>
    <col min="2305" max="2305" width="44.796875" style="3" customWidth="1"/>
    <col min="2306" max="2307" width="0" style="3" hidden="1" customWidth="1"/>
    <col min="2308" max="2308" width="9.796875" style="3" customWidth="1"/>
    <col min="2309" max="2309" width="10.796875" style="3" customWidth="1"/>
    <col min="2310" max="2310" width="12.796875" style="3" customWidth="1"/>
    <col min="2311" max="2311" width="10.19921875" style="3" customWidth="1"/>
    <col min="2312" max="2312" width="10.796875" style="3" customWidth="1"/>
    <col min="2313" max="2313" width="12" style="3" customWidth="1"/>
    <col min="2314" max="2314" width="8.19921875" style="3" customWidth="1"/>
    <col min="2315" max="2315" width="12.19921875" style="3" customWidth="1"/>
    <col min="2316" max="2316" width="12.46484375" style="3" customWidth="1"/>
    <col min="2317" max="2317" width="8.19921875" style="3" customWidth="1"/>
    <col min="2318" max="2318" width="11.46484375" style="3" customWidth="1"/>
    <col min="2319" max="2319" width="13" style="3" customWidth="1"/>
    <col min="2320" max="2320" width="8" style="3" customWidth="1"/>
    <col min="2321" max="2321" width="12.19921875" style="3" customWidth="1"/>
    <col min="2322" max="2322" width="12.46484375" style="3" customWidth="1"/>
    <col min="2323" max="2323" width="9.19921875" style="3" customWidth="1"/>
    <col min="2324" max="2324" width="11.46484375" style="3" customWidth="1"/>
    <col min="2325" max="2325" width="12.53125" style="3" customWidth="1"/>
    <col min="2326" max="2326" width="10.19921875" style="3" customWidth="1"/>
    <col min="2327" max="2328" width="12" style="3" bestFit="1" customWidth="1"/>
    <col min="2329" max="2330" width="11" style="3" customWidth="1"/>
    <col min="2331" max="2331" width="12.46484375" style="3" customWidth="1"/>
    <col min="2332" max="2332" width="9.53125" style="3" customWidth="1"/>
    <col min="2333" max="2333" width="11.19921875" style="3" customWidth="1"/>
    <col min="2334" max="2337" width="12" style="3" customWidth="1"/>
    <col min="2338" max="2338" width="9.19921875" style="3"/>
    <col min="2339" max="2339" width="20.19921875" style="3" customWidth="1"/>
    <col min="2340" max="2340" width="33.796875" style="3" customWidth="1"/>
    <col min="2341" max="2559" width="9.19921875" style="3"/>
    <col min="2560" max="2560" width="3.796875" style="3" customWidth="1"/>
    <col min="2561" max="2561" width="44.796875" style="3" customWidth="1"/>
    <col min="2562" max="2563" width="0" style="3" hidden="1" customWidth="1"/>
    <col min="2564" max="2564" width="9.796875" style="3" customWidth="1"/>
    <col min="2565" max="2565" width="10.796875" style="3" customWidth="1"/>
    <col min="2566" max="2566" width="12.796875" style="3" customWidth="1"/>
    <col min="2567" max="2567" width="10.19921875" style="3" customWidth="1"/>
    <col min="2568" max="2568" width="10.796875" style="3" customWidth="1"/>
    <col min="2569" max="2569" width="12" style="3" customWidth="1"/>
    <col min="2570" max="2570" width="8.19921875" style="3" customWidth="1"/>
    <col min="2571" max="2571" width="12.19921875" style="3" customWidth="1"/>
    <col min="2572" max="2572" width="12.46484375" style="3" customWidth="1"/>
    <col min="2573" max="2573" width="8.19921875" style="3" customWidth="1"/>
    <col min="2574" max="2574" width="11.46484375" style="3" customWidth="1"/>
    <col min="2575" max="2575" width="13" style="3" customWidth="1"/>
    <col min="2576" max="2576" width="8" style="3" customWidth="1"/>
    <col min="2577" max="2577" width="12.19921875" style="3" customWidth="1"/>
    <col min="2578" max="2578" width="12.46484375" style="3" customWidth="1"/>
    <col min="2579" max="2579" width="9.19921875" style="3" customWidth="1"/>
    <col min="2580" max="2580" width="11.46484375" style="3" customWidth="1"/>
    <col min="2581" max="2581" width="12.53125" style="3" customWidth="1"/>
    <col min="2582" max="2582" width="10.19921875" style="3" customWidth="1"/>
    <col min="2583" max="2584" width="12" style="3" bestFit="1" customWidth="1"/>
    <col min="2585" max="2586" width="11" style="3" customWidth="1"/>
    <col min="2587" max="2587" width="12.46484375" style="3" customWidth="1"/>
    <col min="2588" max="2588" width="9.53125" style="3" customWidth="1"/>
    <col min="2589" max="2589" width="11.19921875" style="3" customWidth="1"/>
    <col min="2590" max="2593" width="12" style="3" customWidth="1"/>
    <col min="2594" max="2594" width="9.19921875" style="3"/>
    <col min="2595" max="2595" width="20.19921875" style="3" customWidth="1"/>
    <col min="2596" max="2596" width="33.796875" style="3" customWidth="1"/>
    <col min="2597" max="2815" width="9.19921875" style="3"/>
    <col min="2816" max="2816" width="3.796875" style="3" customWidth="1"/>
    <col min="2817" max="2817" width="44.796875" style="3" customWidth="1"/>
    <col min="2818" max="2819" width="0" style="3" hidden="1" customWidth="1"/>
    <col min="2820" max="2820" width="9.796875" style="3" customWidth="1"/>
    <col min="2821" max="2821" width="10.796875" style="3" customWidth="1"/>
    <col min="2822" max="2822" width="12.796875" style="3" customWidth="1"/>
    <col min="2823" max="2823" width="10.19921875" style="3" customWidth="1"/>
    <col min="2824" max="2824" width="10.796875" style="3" customWidth="1"/>
    <col min="2825" max="2825" width="12" style="3" customWidth="1"/>
    <col min="2826" max="2826" width="8.19921875" style="3" customWidth="1"/>
    <col min="2827" max="2827" width="12.19921875" style="3" customWidth="1"/>
    <col min="2828" max="2828" width="12.46484375" style="3" customWidth="1"/>
    <col min="2829" max="2829" width="8.19921875" style="3" customWidth="1"/>
    <col min="2830" max="2830" width="11.46484375" style="3" customWidth="1"/>
    <col min="2831" max="2831" width="13" style="3" customWidth="1"/>
    <col min="2832" max="2832" width="8" style="3" customWidth="1"/>
    <col min="2833" max="2833" width="12.19921875" style="3" customWidth="1"/>
    <col min="2834" max="2834" width="12.46484375" style="3" customWidth="1"/>
    <col min="2835" max="2835" width="9.19921875" style="3" customWidth="1"/>
    <col min="2836" max="2836" width="11.46484375" style="3" customWidth="1"/>
    <col min="2837" max="2837" width="12.53125" style="3" customWidth="1"/>
    <col min="2838" max="2838" width="10.19921875" style="3" customWidth="1"/>
    <col min="2839" max="2840" width="12" style="3" bestFit="1" customWidth="1"/>
    <col min="2841" max="2842" width="11" style="3" customWidth="1"/>
    <col min="2843" max="2843" width="12.46484375" style="3" customWidth="1"/>
    <col min="2844" max="2844" width="9.53125" style="3" customWidth="1"/>
    <col min="2845" max="2845" width="11.19921875" style="3" customWidth="1"/>
    <col min="2846" max="2849" width="12" style="3" customWidth="1"/>
    <col min="2850" max="2850" width="9.19921875" style="3"/>
    <col min="2851" max="2851" width="20.19921875" style="3" customWidth="1"/>
    <col min="2852" max="2852" width="33.796875" style="3" customWidth="1"/>
    <col min="2853" max="3071" width="9.19921875" style="3"/>
    <col min="3072" max="3072" width="3.796875" style="3" customWidth="1"/>
    <col min="3073" max="3073" width="44.796875" style="3" customWidth="1"/>
    <col min="3074" max="3075" width="0" style="3" hidden="1" customWidth="1"/>
    <col min="3076" max="3076" width="9.796875" style="3" customWidth="1"/>
    <col min="3077" max="3077" width="10.796875" style="3" customWidth="1"/>
    <col min="3078" max="3078" width="12.796875" style="3" customWidth="1"/>
    <col min="3079" max="3079" width="10.19921875" style="3" customWidth="1"/>
    <col min="3080" max="3080" width="10.796875" style="3" customWidth="1"/>
    <col min="3081" max="3081" width="12" style="3" customWidth="1"/>
    <col min="3082" max="3082" width="8.19921875" style="3" customWidth="1"/>
    <col min="3083" max="3083" width="12.19921875" style="3" customWidth="1"/>
    <col min="3084" max="3084" width="12.46484375" style="3" customWidth="1"/>
    <col min="3085" max="3085" width="8.19921875" style="3" customWidth="1"/>
    <col min="3086" max="3086" width="11.46484375" style="3" customWidth="1"/>
    <col min="3087" max="3087" width="13" style="3" customWidth="1"/>
    <col min="3088" max="3088" width="8" style="3" customWidth="1"/>
    <col min="3089" max="3089" width="12.19921875" style="3" customWidth="1"/>
    <col min="3090" max="3090" width="12.46484375" style="3" customWidth="1"/>
    <col min="3091" max="3091" width="9.19921875" style="3" customWidth="1"/>
    <col min="3092" max="3092" width="11.46484375" style="3" customWidth="1"/>
    <col min="3093" max="3093" width="12.53125" style="3" customWidth="1"/>
    <col min="3094" max="3094" width="10.19921875" style="3" customWidth="1"/>
    <col min="3095" max="3096" width="12" style="3" bestFit="1" customWidth="1"/>
    <col min="3097" max="3098" width="11" style="3" customWidth="1"/>
    <col min="3099" max="3099" width="12.46484375" style="3" customWidth="1"/>
    <col min="3100" max="3100" width="9.53125" style="3" customWidth="1"/>
    <col min="3101" max="3101" width="11.19921875" style="3" customWidth="1"/>
    <col min="3102" max="3105" width="12" style="3" customWidth="1"/>
    <col min="3106" max="3106" width="9.19921875" style="3"/>
    <col min="3107" max="3107" width="20.19921875" style="3" customWidth="1"/>
    <col min="3108" max="3108" width="33.796875" style="3" customWidth="1"/>
    <col min="3109" max="3327" width="9.19921875" style="3"/>
    <col min="3328" max="3328" width="3.796875" style="3" customWidth="1"/>
    <col min="3329" max="3329" width="44.796875" style="3" customWidth="1"/>
    <col min="3330" max="3331" width="0" style="3" hidden="1" customWidth="1"/>
    <col min="3332" max="3332" width="9.796875" style="3" customWidth="1"/>
    <col min="3333" max="3333" width="10.796875" style="3" customWidth="1"/>
    <col min="3334" max="3334" width="12.796875" style="3" customWidth="1"/>
    <col min="3335" max="3335" width="10.19921875" style="3" customWidth="1"/>
    <col min="3336" max="3336" width="10.796875" style="3" customWidth="1"/>
    <col min="3337" max="3337" width="12" style="3" customWidth="1"/>
    <col min="3338" max="3338" width="8.19921875" style="3" customWidth="1"/>
    <col min="3339" max="3339" width="12.19921875" style="3" customWidth="1"/>
    <col min="3340" max="3340" width="12.46484375" style="3" customWidth="1"/>
    <col min="3341" max="3341" width="8.19921875" style="3" customWidth="1"/>
    <col min="3342" max="3342" width="11.46484375" style="3" customWidth="1"/>
    <col min="3343" max="3343" width="13" style="3" customWidth="1"/>
    <col min="3344" max="3344" width="8" style="3" customWidth="1"/>
    <col min="3345" max="3345" width="12.19921875" style="3" customWidth="1"/>
    <col min="3346" max="3346" width="12.46484375" style="3" customWidth="1"/>
    <col min="3347" max="3347" width="9.19921875" style="3" customWidth="1"/>
    <col min="3348" max="3348" width="11.46484375" style="3" customWidth="1"/>
    <col min="3349" max="3349" width="12.53125" style="3" customWidth="1"/>
    <col min="3350" max="3350" width="10.19921875" style="3" customWidth="1"/>
    <col min="3351" max="3352" width="12" style="3" bestFit="1" customWidth="1"/>
    <col min="3353" max="3354" width="11" style="3" customWidth="1"/>
    <col min="3355" max="3355" width="12.46484375" style="3" customWidth="1"/>
    <col min="3356" max="3356" width="9.53125" style="3" customWidth="1"/>
    <col min="3357" max="3357" width="11.19921875" style="3" customWidth="1"/>
    <col min="3358" max="3361" width="12" style="3" customWidth="1"/>
    <col min="3362" max="3362" width="9.19921875" style="3"/>
    <col min="3363" max="3363" width="20.19921875" style="3" customWidth="1"/>
    <col min="3364" max="3364" width="33.796875" style="3" customWidth="1"/>
    <col min="3365" max="3583" width="9.19921875" style="3"/>
    <col min="3584" max="3584" width="3.796875" style="3" customWidth="1"/>
    <col min="3585" max="3585" width="44.796875" style="3" customWidth="1"/>
    <col min="3586" max="3587" width="0" style="3" hidden="1" customWidth="1"/>
    <col min="3588" max="3588" width="9.796875" style="3" customWidth="1"/>
    <col min="3589" max="3589" width="10.796875" style="3" customWidth="1"/>
    <col min="3590" max="3590" width="12.796875" style="3" customWidth="1"/>
    <col min="3591" max="3591" width="10.19921875" style="3" customWidth="1"/>
    <col min="3592" max="3592" width="10.796875" style="3" customWidth="1"/>
    <col min="3593" max="3593" width="12" style="3" customWidth="1"/>
    <col min="3594" max="3594" width="8.19921875" style="3" customWidth="1"/>
    <col min="3595" max="3595" width="12.19921875" style="3" customWidth="1"/>
    <col min="3596" max="3596" width="12.46484375" style="3" customWidth="1"/>
    <col min="3597" max="3597" width="8.19921875" style="3" customWidth="1"/>
    <col min="3598" max="3598" width="11.46484375" style="3" customWidth="1"/>
    <col min="3599" max="3599" width="13" style="3" customWidth="1"/>
    <col min="3600" max="3600" width="8" style="3" customWidth="1"/>
    <col min="3601" max="3601" width="12.19921875" style="3" customWidth="1"/>
    <col min="3602" max="3602" width="12.46484375" style="3" customWidth="1"/>
    <col min="3603" max="3603" width="9.19921875" style="3" customWidth="1"/>
    <col min="3604" max="3604" width="11.46484375" style="3" customWidth="1"/>
    <col min="3605" max="3605" width="12.53125" style="3" customWidth="1"/>
    <col min="3606" max="3606" width="10.19921875" style="3" customWidth="1"/>
    <col min="3607" max="3608" width="12" style="3" bestFit="1" customWidth="1"/>
    <col min="3609" max="3610" width="11" style="3" customWidth="1"/>
    <col min="3611" max="3611" width="12.46484375" style="3" customWidth="1"/>
    <col min="3612" max="3612" width="9.53125" style="3" customWidth="1"/>
    <col min="3613" max="3613" width="11.19921875" style="3" customWidth="1"/>
    <col min="3614" max="3617" width="12" style="3" customWidth="1"/>
    <col min="3618" max="3618" width="9.19921875" style="3"/>
    <col min="3619" max="3619" width="20.19921875" style="3" customWidth="1"/>
    <col min="3620" max="3620" width="33.796875" style="3" customWidth="1"/>
    <col min="3621" max="3839" width="9.19921875" style="3"/>
    <col min="3840" max="3840" width="3.796875" style="3" customWidth="1"/>
    <col min="3841" max="3841" width="44.796875" style="3" customWidth="1"/>
    <col min="3842" max="3843" width="0" style="3" hidden="1" customWidth="1"/>
    <col min="3844" max="3844" width="9.796875" style="3" customWidth="1"/>
    <col min="3845" max="3845" width="10.796875" style="3" customWidth="1"/>
    <col min="3846" max="3846" width="12.796875" style="3" customWidth="1"/>
    <col min="3847" max="3847" width="10.19921875" style="3" customWidth="1"/>
    <col min="3848" max="3848" width="10.796875" style="3" customWidth="1"/>
    <col min="3849" max="3849" width="12" style="3" customWidth="1"/>
    <col min="3850" max="3850" width="8.19921875" style="3" customWidth="1"/>
    <col min="3851" max="3851" width="12.19921875" style="3" customWidth="1"/>
    <col min="3852" max="3852" width="12.46484375" style="3" customWidth="1"/>
    <col min="3853" max="3853" width="8.19921875" style="3" customWidth="1"/>
    <col min="3854" max="3854" width="11.46484375" style="3" customWidth="1"/>
    <col min="3855" max="3855" width="13" style="3" customWidth="1"/>
    <col min="3856" max="3856" width="8" style="3" customWidth="1"/>
    <col min="3857" max="3857" width="12.19921875" style="3" customWidth="1"/>
    <col min="3858" max="3858" width="12.46484375" style="3" customWidth="1"/>
    <col min="3859" max="3859" width="9.19921875" style="3" customWidth="1"/>
    <col min="3860" max="3860" width="11.46484375" style="3" customWidth="1"/>
    <col min="3861" max="3861" width="12.53125" style="3" customWidth="1"/>
    <col min="3862" max="3862" width="10.19921875" style="3" customWidth="1"/>
    <col min="3863" max="3864" width="12" style="3" bestFit="1" customWidth="1"/>
    <col min="3865" max="3866" width="11" style="3" customWidth="1"/>
    <col min="3867" max="3867" width="12.46484375" style="3" customWidth="1"/>
    <col min="3868" max="3868" width="9.53125" style="3" customWidth="1"/>
    <col min="3869" max="3869" width="11.19921875" style="3" customWidth="1"/>
    <col min="3870" max="3873" width="12" style="3" customWidth="1"/>
    <col min="3874" max="3874" width="9.19921875" style="3"/>
    <col min="3875" max="3875" width="20.19921875" style="3" customWidth="1"/>
    <col min="3876" max="3876" width="33.796875" style="3" customWidth="1"/>
    <col min="3877" max="4095" width="9.19921875" style="3"/>
    <col min="4096" max="4096" width="3.796875" style="3" customWidth="1"/>
    <col min="4097" max="4097" width="44.796875" style="3" customWidth="1"/>
    <col min="4098" max="4099" width="0" style="3" hidden="1" customWidth="1"/>
    <col min="4100" max="4100" width="9.796875" style="3" customWidth="1"/>
    <col min="4101" max="4101" width="10.796875" style="3" customWidth="1"/>
    <col min="4102" max="4102" width="12.796875" style="3" customWidth="1"/>
    <col min="4103" max="4103" width="10.19921875" style="3" customWidth="1"/>
    <col min="4104" max="4104" width="10.796875" style="3" customWidth="1"/>
    <col min="4105" max="4105" width="12" style="3" customWidth="1"/>
    <col min="4106" max="4106" width="8.19921875" style="3" customWidth="1"/>
    <col min="4107" max="4107" width="12.19921875" style="3" customWidth="1"/>
    <col min="4108" max="4108" width="12.46484375" style="3" customWidth="1"/>
    <col min="4109" max="4109" width="8.19921875" style="3" customWidth="1"/>
    <col min="4110" max="4110" width="11.46484375" style="3" customWidth="1"/>
    <col min="4111" max="4111" width="13" style="3" customWidth="1"/>
    <col min="4112" max="4112" width="8" style="3" customWidth="1"/>
    <col min="4113" max="4113" width="12.19921875" style="3" customWidth="1"/>
    <col min="4114" max="4114" width="12.46484375" style="3" customWidth="1"/>
    <col min="4115" max="4115" width="9.19921875" style="3" customWidth="1"/>
    <col min="4116" max="4116" width="11.46484375" style="3" customWidth="1"/>
    <col min="4117" max="4117" width="12.53125" style="3" customWidth="1"/>
    <col min="4118" max="4118" width="10.19921875" style="3" customWidth="1"/>
    <col min="4119" max="4120" width="12" style="3" bestFit="1" customWidth="1"/>
    <col min="4121" max="4122" width="11" style="3" customWidth="1"/>
    <col min="4123" max="4123" width="12.46484375" style="3" customWidth="1"/>
    <col min="4124" max="4124" width="9.53125" style="3" customWidth="1"/>
    <col min="4125" max="4125" width="11.19921875" style="3" customWidth="1"/>
    <col min="4126" max="4129" width="12" style="3" customWidth="1"/>
    <col min="4130" max="4130" width="9.19921875" style="3"/>
    <col min="4131" max="4131" width="20.19921875" style="3" customWidth="1"/>
    <col min="4132" max="4132" width="33.796875" style="3" customWidth="1"/>
    <col min="4133" max="4351" width="9.19921875" style="3"/>
    <col min="4352" max="4352" width="3.796875" style="3" customWidth="1"/>
    <col min="4353" max="4353" width="44.796875" style="3" customWidth="1"/>
    <col min="4354" max="4355" width="0" style="3" hidden="1" customWidth="1"/>
    <col min="4356" max="4356" width="9.796875" style="3" customWidth="1"/>
    <col min="4357" max="4357" width="10.796875" style="3" customWidth="1"/>
    <col min="4358" max="4358" width="12.796875" style="3" customWidth="1"/>
    <col min="4359" max="4359" width="10.19921875" style="3" customWidth="1"/>
    <col min="4360" max="4360" width="10.796875" style="3" customWidth="1"/>
    <col min="4361" max="4361" width="12" style="3" customWidth="1"/>
    <col min="4362" max="4362" width="8.19921875" style="3" customWidth="1"/>
    <col min="4363" max="4363" width="12.19921875" style="3" customWidth="1"/>
    <col min="4364" max="4364" width="12.46484375" style="3" customWidth="1"/>
    <col min="4365" max="4365" width="8.19921875" style="3" customWidth="1"/>
    <col min="4366" max="4366" width="11.46484375" style="3" customWidth="1"/>
    <col min="4367" max="4367" width="13" style="3" customWidth="1"/>
    <col min="4368" max="4368" width="8" style="3" customWidth="1"/>
    <col min="4369" max="4369" width="12.19921875" style="3" customWidth="1"/>
    <col min="4370" max="4370" width="12.46484375" style="3" customWidth="1"/>
    <col min="4371" max="4371" width="9.19921875" style="3" customWidth="1"/>
    <col min="4372" max="4372" width="11.46484375" style="3" customWidth="1"/>
    <col min="4373" max="4373" width="12.53125" style="3" customWidth="1"/>
    <col min="4374" max="4374" width="10.19921875" style="3" customWidth="1"/>
    <col min="4375" max="4376" width="12" style="3" bestFit="1" customWidth="1"/>
    <col min="4377" max="4378" width="11" style="3" customWidth="1"/>
    <col min="4379" max="4379" width="12.46484375" style="3" customWidth="1"/>
    <col min="4380" max="4380" width="9.53125" style="3" customWidth="1"/>
    <col min="4381" max="4381" width="11.19921875" style="3" customWidth="1"/>
    <col min="4382" max="4385" width="12" style="3" customWidth="1"/>
    <col min="4386" max="4386" width="9.19921875" style="3"/>
    <col min="4387" max="4387" width="20.19921875" style="3" customWidth="1"/>
    <col min="4388" max="4388" width="33.796875" style="3" customWidth="1"/>
    <col min="4389" max="4607" width="9.19921875" style="3"/>
    <col min="4608" max="4608" width="3.796875" style="3" customWidth="1"/>
    <col min="4609" max="4609" width="44.796875" style="3" customWidth="1"/>
    <col min="4610" max="4611" width="0" style="3" hidden="1" customWidth="1"/>
    <col min="4612" max="4612" width="9.796875" style="3" customWidth="1"/>
    <col min="4613" max="4613" width="10.796875" style="3" customWidth="1"/>
    <col min="4614" max="4614" width="12.796875" style="3" customWidth="1"/>
    <col min="4615" max="4615" width="10.19921875" style="3" customWidth="1"/>
    <col min="4616" max="4616" width="10.796875" style="3" customWidth="1"/>
    <col min="4617" max="4617" width="12" style="3" customWidth="1"/>
    <col min="4618" max="4618" width="8.19921875" style="3" customWidth="1"/>
    <col min="4619" max="4619" width="12.19921875" style="3" customWidth="1"/>
    <col min="4620" max="4620" width="12.46484375" style="3" customWidth="1"/>
    <col min="4621" max="4621" width="8.19921875" style="3" customWidth="1"/>
    <col min="4622" max="4622" width="11.46484375" style="3" customWidth="1"/>
    <col min="4623" max="4623" width="13" style="3" customWidth="1"/>
    <col min="4624" max="4624" width="8" style="3" customWidth="1"/>
    <col min="4625" max="4625" width="12.19921875" style="3" customWidth="1"/>
    <col min="4626" max="4626" width="12.46484375" style="3" customWidth="1"/>
    <col min="4627" max="4627" width="9.19921875" style="3" customWidth="1"/>
    <col min="4628" max="4628" width="11.46484375" style="3" customWidth="1"/>
    <col min="4629" max="4629" width="12.53125" style="3" customWidth="1"/>
    <col min="4630" max="4630" width="10.19921875" style="3" customWidth="1"/>
    <col min="4631" max="4632" width="12" style="3" bestFit="1" customWidth="1"/>
    <col min="4633" max="4634" width="11" style="3" customWidth="1"/>
    <col min="4635" max="4635" width="12.46484375" style="3" customWidth="1"/>
    <col min="4636" max="4636" width="9.53125" style="3" customWidth="1"/>
    <col min="4637" max="4637" width="11.19921875" style="3" customWidth="1"/>
    <col min="4638" max="4641" width="12" style="3" customWidth="1"/>
    <col min="4642" max="4642" width="9.19921875" style="3"/>
    <col min="4643" max="4643" width="20.19921875" style="3" customWidth="1"/>
    <col min="4644" max="4644" width="33.796875" style="3" customWidth="1"/>
    <col min="4645" max="4863" width="9.19921875" style="3"/>
    <col min="4864" max="4864" width="3.796875" style="3" customWidth="1"/>
    <col min="4865" max="4865" width="44.796875" style="3" customWidth="1"/>
    <col min="4866" max="4867" width="0" style="3" hidden="1" customWidth="1"/>
    <col min="4868" max="4868" width="9.796875" style="3" customWidth="1"/>
    <col min="4869" max="4869" width="10.796875" style="3" customWidth="1"/>
    <col min="4870" max="4870" width="12.796875" style="3" customWidth="1"/>
    <col min="4871" max="4871" width="10.19921875" style="3" customWidth="1"/>
    <col min="4872" max="4872" width="10.796875" style="3" customWidth="1"/>
    <col min="4873" max="4873" width="12" style="3" customWidth="1"/>
    <col min="4874" max="4874" width="8.19921875" style="3" customWidth="1"/>
    <col min="4875" max="4875" width="12.19921875" style="3" customWidth="1"/>
    <col min="4876" max="4876" width="12.46484375" style="3" customWidth="1"/>
    <col min="4877" max="4877" width="8.19921875" style="3" customWidth="1"/>
    <col min="4878" max="4878" width="11.46484375" style="3" customWidth="1"/>
    <col min="4879" max="4879" width="13" style="3" customWidth="1"/>
    <col min="4880" max="4880" width="8" style="3" customWidth="1"/>
    <col min="4881" max="4881" width="12.19921875" style="3" customWidth="1"/>
    <col min="4882" max="4882" width="12.46484375" style="3" customWidth="1"/>
    <col min="4883" max="4883" width="9.19921875" style="3" customWidth="1"/>
    <col min="4884" max="4884" width="11.46484375" style="3" customWidth="1"/>
    <col min="4885" max="4885" width="12.53125" style="3" customWidth="1"/>
    <col min="4886" max="4886" width="10.19921875" style="3" customWidth="1"/>
    <col min="4887" max="4888" width="12" style="3" bestFit="1" customWidth="1"/>
    <col min="4889" max="4890" width="11" style="3" customWidth="1"/>
    <col min="4891" max="4891" width="12.46484375" style="3" customWidth="1"/>
    <col min="4892" max="4892" width="9.53125" style="3" customWidth="1"/>
    <col min="4893" max="4893" width="11.19921875" style="3" customWidth="1"/>
    <col min="4894" max="4897" width="12" style="3" customWidth="1"/>
    <col min="4898" max="4898" width="9.19921875" style="3"/>
    <col min="4899" max="4899" width="20.19921875" style="3" customWidth="1"/>
    <col min="4900" max="4900" width="33.796875" style="3" customWidth="1"/>
    <col min="4901" max="5119" width="9.19921875" style="3"/>
    <col min="5120" max="5120" width="3.796875" style="3" customWidth="1"/>
    <col min="5121" max="5121" width="44.796875" style="3" customWidth="1"/>
    <col min="5122" max="5123" width="0" style="3" hidden="1" customWidth="1"/>
    <col min="5124" max="5124" width="9.796875" style="3" customWidth="1"/>
    <col min="5125" max="5125" width="10.796875" style="3" customWidth="1"/>
    <col min="5126" max="5126" width="12.796875" style="3" customWidth="1"/>
    <col min="5127" max="5127" width="10.19921875" style="3" customWidth="1"/>
    <col min="5128" max="5128" width="10.796875" style="3" customWidth="1"/>
    <col min="5129" max="5129" width="12" style="3" customWidth="1"/>
    <col min="5130" max="5130" width="8.19921875" style="3" customWidth="1"/>
    <col min="5131" max="5131" width="12.19921875" style="3" customWidth="1"/>
    <col min="5132" max="5132" width="12.46484375" style="3" customWidth="1"/>
    <col min="5133" max="5133" width="8.19921875" style="3" customWidth="1"/>
    <col min="5134" max="5134" width="11.46484375" style="3" customWidth="1"/>
    <col min="5135" max="5135" width="13" style="3" customWidth="1"/>
    <col min="5136" max="5136" width="8" style="3" customWidth="1"/>
    <col min="5137" max="5137" width="12.19921875" style="3" customWidth="1"/>
    <col min="5138" max="5138" width="12.46484375" style="3" customWidth="1"/>
    <col min="5139" max="5139" width="9.19921875" style="3" customWidth="1"/>
    <col min="5140" max="5140" width="11.46484375" style="3" customWidth="1"/>
    <col min="5141" max="5141" width="12.53125" style="3" customWidth="1"/>
    <col min="5142" max="5142" width="10.19921875" style="3" customWidth="1"/>
    <col min="5143" max="5144" width="12" style="3" bestFit="1" customWidth="1"/>
    <col min="5145" max="5146" width="11" style="3" customWidth="1"/>
    <col min="5147" max="5147" width="12.46484375" style="3" customWidth="1"/>
    <col min="5148" max="5148" width="9.53125" style="3" customWidth="1"/>
    <col min="5149" max="5149" width="11.19921875" style="3" customWidth="1"/>
    <col min="5150" max="5153" width="12" style="3" customWidth="1"/>
    <col min="5154" max="5154" width="9.19921875" style="3"/>
    <col min="5155" max="5155" width="20.19921875" style="3" customWidth="1"/>
    <col min="5156" max="5156" width="33.796875" style="3" customWidth="1"/>
    <col min="5157" max="5375" width="9.19921875" style="3"/>
    <col min="5376" max="5376" width="3.796875" style="3" customWidth="1"/>
    <col min="5377" max="5377" width="44.796875" style="3" customWidth="1"/>
    <col min="5378" max="5379" width="0" style="3" hidden="1" customWidth="1"/>
    <col min="5380" max="5380" width="9.796875" style="3" customWidth="1"/>
    <col min="5381" max="5381" width="10.796875" style="3" customWidth="1"/>
    <col min="5382" max="5382" width="12.796875" style="3" customWidth="1"/>
    <col min="5383" max="5383" width="10.19921875" style="3" customWidth="1"/>
    <col min="5384" max="5384" width="10.796875" style="3" customWidth="1"/>
    <col min="5385" max="5385" width="12" style="3" customWidth="1"/>
    <col min="5386" max="5386" width="8.19921875" style="3" customWidth="1"/>
    <col min="5387" max="5387" width="12.19921875" style="3" customWidth="1"/>
    <col min="5388" max="5388" width="12.46484375" style="3" customWidth="1"/>
    <col min="5389" max="5389" width="8.19921875" style="3" customWidth="1"/>
    <col min="5390" max="5390" width="11.46484375" style="3" customWidth="1"/>
    <col min="5391" max="5391" width="13" style="3" customWidth="1"/>
    <col min="5392" max="5392" width="8" style="3" customWidth="1"/>
    <col min="5393" max="5393" width="12.19921875" style="3" customWidth="1"/>
    <col min="5394" max="5394" width="12.46484375" style="3" customWidth="1"/>
    <col min="5395" max="5395" width="9.19921875" style="3" customWidth="1"/>
    <col min="5396" max="5396" width="11.46484375" style="3" customWidth="1"/>
    <col min="5397" max="5397" width="12.53125" style="3" customWidth="1"/>
    <col min="5398" max="5398" width="10.19921875" style="3" customWidth="1"/>
    <col min="5399" max="5400" width="12" style="3" bestFit="1" customWidth="1"/>
    <col min="5401" max="5402" width="11" style="3" customWidth="1"/>
    <col min="5403" max="5403" width="12.46484375" style="3" customWidth="1"/>
    <col min="5404" max="5404" width="9.53125" style="3" customWidth="1"/>
    <col min="5405" max="5405" width="11.19921875" style="3" customWidth="1"/>
    <col min="5406" max="5409" width="12" style="3" customWidth="1"/>
    <col min="5410" max="5410" width="9.19921875" style="3"/>
    <col min="5411" max="5411" width="20.19921875" style="3" customWidth="1"/>
    <col min="5412" max="5412" width="33.796875" style="3" customWidth="1"/>
    <col min="5413" max="5631" width="9.19921875" style="3"/>
    <col min="5632" max="5632" width="3.796875" style="3" customWidth="1"/>
    <col min="5633" max="5633" width="44.796875" style="3" customWidth="1"/>
    <col min="5634" max="5635" width="0" style="3" hidden="1" customWidth="1"/>
    <col min="5636" max="5636" width="9.796875" style="3" customWidth="1"/>
    <col min="5637" max="5637" width="10.796875" style="3" customWidth="1"/>
    <col min="5638" max="5638" width="12.796875" style="3" customWidth="1"/>
    <col min="5639" max="5639" width="10.19921875" style="3" customWidth="1"/>
    <col min="5640" max="5640" width="10.796875" style="3" customWidth="1"/>
    <col min="5641" max="5641" width="12" style="3" customWidth="1"/>
    <col min="5642" max="5642" width="8.19921875" style="3" customWidth="1"/>
    <col min="5643" max="5643" width="12.19921875" style="3" customWidth="1"/>
    <col min="5644" max="5644" width="12.46484375" style="3" customWidth="1"/>
    <col min="5645" max="5645" width="8.19921875" style="3" customWidth="1"/>
    <col min="5646" max="5646" width="11.46484375" style="3" customWidth="1"/>
    <col min="5647" max="5647" width="13" style="3" customWidth="1"/>
    <col min="5648" max="5648" width="8" style="3" customWidth="1"/>
    <col min="5649" max="5649" width="12.19921875" style="3" customWidth="1"/>
    <col min="5650" max="5650" width="12.46484375" style="3" customWidth="1"/>
    <col min="5651" max="5651" width="9.19921875" style="3" customWidth="1"/>
    <col min="5652" max="5652" width="11.46484375" style="3" customWidth="1"/>
    <col min="5653" max="5653" width="12.53125" style="3" customWidth="1"/>
    <col min="5654" max="5654" width="10.19921875" style="3" customWidth="1"/>
    <col min="5655" max="5656" width="12" style="3" bestFit="1" customWidth="1"/>
    <col min="5657" max="5658" width="11" style="3" customWidth="1"/>
    <col min="5659" max="5659" width="12.46484375" style="3" customWidth="1"/>
    <col min="5660" max="5660" width="9.53125" style="3" customWidth="1"/>
    <col min="5661" max="5661" width="11.19921875" style="3" customWidth="1"/>
    <col min="5662" max="5665" width="12" style="3" customWidth="1"/>
    <col min="5666" max="5666" width="9.19921875" style="3"/>
    <col min="5667" max="5667" width="20.19921875" style="3" customWidth="1"/>
    <col min="5668" max="5668" width="33.796875" style="3" customWidth="1"/>
    <col min="5669" max="5887" width="9.19921875" style="3"/>
    <col min="5888" max="5888" width="3.796875" style="3" customWidth="1"/>
    <col min="5889" max="5889" width="44.796875" style="3" customWidth="1"/>
    <col min="5890" max="5891" width="0" style="3" hidden="1" customWidth="1"/>
    <col min="5892" max="5892" width="9.796875" style="3" customWidth="1"/>
    <col min="5893" max="5893" width="10.796875" style="3" customWidth="1"/>
    <col min="5894" max="5894" width="12.796875" style="3" customWidth="1"/>
    <col min="5895" max="5895" width="10.19921875" style="3" customWidth="1"/>
    <col min="5896" max="5896" width="10.796875" style="3" customWidth="1"/>
    <col min="5897" max="5897" width="12" style="3" customWidth="1"/>
    <col min="5898" max="5898" width="8.19921875" style="3" customWidth="1"/>
    <col min="5899" max="5899" width="12.19921875" style="3" customWidth="1"/>
    <col min="5900" max="5900" width="12.46484375" style="3" customWidth="1"/>
    <col min="5901" max="5901" width="8.19921875" style="3" customWidth="1"/>
    <col min="5902" max="5902" width="11.46484375" style="3" customWidth="1"/>
    <col min="5903" max="5903" width="13" style="3" customWidth="1"/>
    <col min="5904" max="5904" width="8" style="3" customWidth="1"/>
    <col min="5905" max="5905" width="12.19921875" style="3" customWidth="1"/>
    <col min="5906" max="5906" width="12.46484375" style="3" customWidth="1"/>
    <col min="5907" max="5907" width="9.19921875" style="3" customWidth="1"/>
    <col min="5908" max="5908" width="11.46484375" style="3" customWidth="1"/>
    <col min="5909" max="5909" width="12.53125" style="3" customWidth="1"/>
    <col min="5910" max="5910" width="10.19921875" style="3" customWidth="1"/>
    <col min="5911" max="5912" width="12" style="3" bestFit="1" customWidth="1"/>
    <col min="5913" max="5914" width="11" style="3" customWidth="1"/>
    <col min="5915" max="5915" width="12.46484375" style="3" customWidth="1"/>
    <col min="5916" max="5916" width="9.53125" style="3" customWidth="1"/>
    <col min="5917" max="5917" width="11.19921875" style="3" customWidth="1"/>
    <col min="5918" max="5921" width="12" style="3" customWidth="1"/>
    <col min="5922" max="5922" width="9.19921875" style="3"/>
    <col min="5923" max="5923" width="20.19921875" style="3" customWidth="1"/>
    <col min="5924" max="5924" width="33.796875" style="3" customWidth="1"/>
    <col min="5925" max="6143" width="9.19921875" style="3"/>
    <col min="6144" max="6144" width="3.796875" style="3" customWidth="1"/>
    <col min="6145" max="6145" width="44.796875" style="3" customWidth="1"/>
    <col min="6146" max="6147" width="0" style="3" hidden="1" customWidth="1"/>
    <col min="6148" max="6148" width="9.796875" style="3" customWidth="1"/>
    <col min="6149" max="6149" width="10.796875" style="3" customWidth="1"/>
    <col min="6150" max="6150" width="12.796875" style="3" customWidth="1"/>
    <col min="6151" max="6151" width="10.19921875" style="3" customWidth="1"/>
    <col min="6152" max="6152" width="10.796875" style="3" customWidth="1"/>
    <col min="6153" max="6153" width="12" style="3" customWidth="1"/>
    <col min="6154" max="6154" width="8.19921875" style="3" customWidth="1"/>
    <col min="6155" max="6155" width="12.19921875" style="3" customWidth="1"/>
    <col min="6156" max="6156" width="12.46484375" style="3" customWidth="1"/>
    <col min="6157" max="6157" width="8.19921875" style="3" customWidth="1"/>
    <col min="6158" max="6158" width="11.46484375" style="3" customWidth="1"/>
    <col min="6159" max="6159" width="13" style="3" customWidth="1"/>
    <col min="6160" max="6160" width="8" style="3" customWidth="1"/>
    <col min="6161" max="6161" width="12.19921875" style="3" customWidth="1"/>
    <col min="6162" max="6162" width="12.46484375" style="3" customWidth="1"/>
    <col min="6163" max="6163" width="9.19921875" style="3" customWidth="1"/>
    <col min="6164" max="6164" width="11.46484375" style="3" customWidth="1"/>
    <col min="6165" max="6165" width="12.53125" style="3" customWidth="1"/>
    <col min="6166" max="6166" width="10.19921875" style="3" customWidth="1"/>
    <col min="6167" max="6168" width="12" style="3" bestFit="1" customWidth="1"/>
    <col min="6169" max="6170" width="11" style="3" customWidth="1"/>
    <col min="6171" max="6171" width="12.46484375" style="3" customWidth="1"/>
    <col min="6172" max="6172" width="9.53125" style="3" customWidth="1"/>
    <col min="6173" max="6173" width="11.19921875" style="3" customWidth="1"/>
    <col min="6174" max="6177" width="12" style="3" customWidth="1"/>
    <col min="6178" max="6178" width="9.19921875" style="3"/>
    <col min="6179" max="6179" width="20.19921875" style="3" customWidth="1"/>
    <col min="6180" max="6180" width="33.796875" style="3" customWidth="1"/>
    <col min="6181" max="6399" width="9.19921875" style="3"/>
    <col min="6400" max="6400" width="3.796875" style="3" customWidth="1"/>
    <col min="6401" max="6401" width="44.796875" style="3" customWidth="1"/>
    <col min="6402" max="6403" width="0" style="3" hidden="1" customWidth="1"/>
    <col min="6404" max="6404" width="9.796875" style="3" customWidth="1"/>
    <col min="6405" max="6405" width="10.796875" style="3" customWidth="1"/>
    <col min="6406" max="6406" width="12.796875" style="3" customWidth="1"/>
    <col min="6407" max="6407" width="10.19921875" style="3" customWidth="1"/>
    <col min="6408" max="6408" width="10.796875" style="3" customWidth="1"/>
    <col min="6409" max="6409" width="12" style="3" customWidth="1"/>
    <col min="6410" max="6410" width="8.19921875" style="3" customWidth="1"/>
    <col min="6411" max="6411" width="12.19921875" style="3" customWidth="1"/>
    <col min="6412" max="6412" width="12.46484375" style="3" customWidth="1"/>
    <col min="6413" max="6413" width="8.19921875" style="3" customWidth="1"/>
    <col min="6414" max="6414" width="11.46484375" style="3" customWidth="1"/>
    <col min="6415" max="6415" width="13" style="3" customWidth="1"/>
    <col min="6416" max="6416" width="8" style="3" customWidth="1"/>
    <col min="6417" max="6417" width="12.19921875" style="3" customWidth="1"/>
    <col min="6418" max="6418" width="12.46484375" style="3" customWidth="1"/>
    <col min="6419" max="6419" width="9.19921875" style="3" customWidth="1"/>
    <col min="6420" max="6420" width="11.46484375" style="3" customWidth="1"/>
    <col min="6421" max="6421" width="12.53125" style="3" customWidth="1"/>
    <col min="6422" max="6422" width="10.19921875" style="3" customWidth="1"/>
    <col min="6423" max="6424" width="12" style="3" bestFit="1" customWidth="1"/>
    <col min="6425" max="6426" width="11" style="3" customWidth="1"/>
    <col min="6427" max="6427" width="12.46484375" style="3" customWidth="1"/>
    <col min="6428" max="6428" width="9.53125" style="3" customWidth="1"/>
    <col min="6429" max="6429" width="11.19921875" style="3" customWidth="1"/>
    <col min="6430" max="6433" width="12" style="3" customWidth="1"/>
    <col min="6434" max="6434" width="9.19921875" style="3"/>
    <col min="6435" max="6435" width="20.19921875" style="3" customWidth="1"/>
    <col min="6436" max="6436" width="33.796875" style="3" customWidth="1"/>
    <col min="6437" max="6655" width="9.19921875" style="3"/>
    <col min="6656" max="6656" width="3.796875" style="3" customWidth="1"/>
    <col min="6657" max="6657" width="44.796875" style="3" customWidth="1"/>
    <col min="6658" max="6659" width="0" style="3" hidden="1" customWidth="1"/>
    <col min="6660" max="6660" width="9.796875" style="3" customWidth="1"/>
    <col min="6661" max="6661" width="10.796875" style="3" customWidth="1"/>
    <col min="6662" max="6662" width="12.796875" style="3" customWidth="1"/>
    <col min="6663" max="6663" width="10.19921875" style="3" customWidth="1"/>
    <col min="6664" max="6664" width="10.796875" style="3" customWidth="1"/>
    <col min="6665" max="6665" width="12" style="3" customWidth="1"/>
    <col min="6666" max="6666" width="8.19921875" style="3" customWidth="1"/>
    <col min="6667" max="6667" width="12.19921875" style="3" customWidth="1"/>
    <col min="6668" max="6668" width="12.46484375" style="3" customWidth="1"/>
    <col min="6669" max="6669" width="8.19921875" style="3" customWidth="1"/>
    <col min="6670" max="6670" width="11.46484375" style="3" customWidth="1"/>
    <col min="6671" max="6671" width="13" style="3" customWidth="1"/>
    <col min="6672" max="6672" width="8" style="3" customWidth="1"/>
    <col min="6673" max="6673" width="12.19921875" style="3" customWidth="1"/>
    <col min="6674" max="6674" width="12.46484375" style="3" customWidth="1"/>
    <col min="6675" max="6675" width="9.19921875" style="3" customWidth="1"/>
    <col min="6676" max="6676" width="11.46484375" style="3" customWidth="1"/>
    <col min="6677" max="6677" width="12.53125" style="3" customWidth="1"/>
    <col min="6678" max="6678" width="10.19921875" style="3" customWidth="1"/>
    <col min="6679" max="6680" width="12" style="3" bestFit="1" customWidth="1"/>
    <col min="6681" max="6682" width="11" style="3" customWidth="1"/>
    <col min="6683" max="6683" width="12.46484375" style="3" customWidth="1"/>
    <col min="6684" max="6684" width="9.53125" style="3" customWidth="1"/>
    <col min="6685" max="6685" width="11.19921875" style="3" customWidth="1"/>
    <col min="6686" max="6689" width="12" style="3" customWidth="1"/>
    <col min="6690" max="6690" width="9.19921875" style="3"/>
    <col min="6691" max="6691" width="20.19921875" style="3" customWidth="1"/>
    <col min="6692" max="6692" width="33.796875" style="3" customWidth="1"/>
    <col min="6693" max="6911" width="9.19921875" style="3"/>
    <col min="6912" max="6912" width="3.796875" style="3" customWidth="1"/>
    <col min="6913" max="6913" width="44.796875" style="3" customWidth="1"/>
    <col min="6914" max="6915" width="0" style="3" hidden="1" customWidth="1"/>
    <col min="6916" max="6916" width="9.796875" style="3" customWidth="1"/>
    <col min="6917" max="6917" width="10.796875" style="3" customWidth="1"/>
    <col min="6918" max="6918" width="12.796875" style="3" customWidth="1"/>
    <col min="6919" max="6919" width="10.19921875" style="3" customWidth="1"/>
    <col min="6920" max="6920" width="10.796875" style="3" customWidth="1"/>
    <col min="6921" max="6921" width="12" style="3" customWidth="1"/>
    <col min="6922" max="6922" width="8.19921875" style="3" customWidth="1"/>
    <col min="6923" max="6923" width="12.19921875" style="3" customWidth="1"/>
    <col min="6924" max="6924" width="12.46484375" style="3" customWidth="1"/>
    <col min="6925" max="6925" width="8.19921875" style="3" customWidth="1"/>
    <col min="6926" max="6926" width="11.46484375" style="3" customWidth="1"/>
    <col min="6927" max="6927" width="13" style="3" customWidth="1"/>
    <col min="6928" max="6928" width="8" style="3" customWidth="1"/>
    <col min="6929" max="6929" width="12.19921875" style="3" customWidth="1"/>
    <col min="6930" max="6930" width="12.46484375" style="3" customWidth="1"/>
    <col min="6931" max="6931" width="9.19921875" style="3" customWidth="1"/>
    <col min="6932" max="6932" width="11.46484375" style="3" customWidth="1"/>
    <col min="6933" max="6933" width="12.53125" style="3" customWidth="1"/>
    <col min="6934" max="6934" width="10.19921875" style="3" customWidth="1"/>
    <col min="6935" max="6936" width="12" style="3" bestFit="1" customWidth="1"/>
    <col min="6937" max="6938" width="11" style="3" customWidth="1"/>
    <col min="6939" max="6939" width="12.46484375" style="3" customWidth="1"/>
    <col min="6940" max="6940" width="9.53125" style="3" customWidth="1"/>
    <col min="6941" max="6941" width="11.19921875" style="3" customWidth="1"/>
    <col min="6942" max="6945" width="12" style="3" customWidth="1"/>
    <col min="6946" max="6946" width="9.19921875" style="3"/>
    <col min="6947" max="6947" width="20.19921875" style="3" customWidth="1"/>
    <col min="6948" max="6948" width="33.796875" style="3" customWidth="1"/>
    <col min="6949" max="7167" width="9.19921875" style="3"/>
    <col min="7168" max="7168" width="3.796875" style="3" customWidth="1"/>
    <col min="7169" max="7169" width="44.796875" style="3" customWidth="1"/>
    <col min="7170" max="7171" width="0" style="3" hidden="1" customWidth="1"/>
    <col min="7172" max="7172" width="9.796875" style="3" customWidth="1"/>
    <col min="7173" max="7173" width="10.796875" style="3" customWidth="1"/>
    <col min="7174" max="7174" width="12.796875" style="3" customWidth="1"/>
    <col min="7175" max="7175" width="10.19921875" style="3" customWidth="1"/>
    <col min="7176" max="7176" width="10.796875" style="3" customWidth="1"/>
    <col min="7177" max="7177" width="12" style="3" customWidth="1"/>
    <col min="7178" max="7178" width="8.19921875" style="3" customWidth="1"/>
    <col min="7179" max="7179" width="12.19921875" style="3" customWidth="1"/>
    <col min="7180" max="7180" width="12.46484375" style="3" customWidth="1"/>
    <col min="7181" max="7181" width="8.19921875" style="3" customWidth="1"/>
    <col min="7182" max="7182" width="11.46484375" style="3" customWidth="1"/>
    <col min="7183" max="7183" width="13" style="3" customWidth="1"/>
    <col min="7184" max="7184" width="8" style="3" customWidth="1"/>
    <col min="7185" max="7185" width="12.19921875" style="3" customWidth="1"/>
    <col min="7186" max="7186" width="12.46484375" style="3" customWidth="1"/>
    <col min="7187" max="7187" width="9.19921875" style="3" customWidth="1"/>
    <col min="7188" max="7188" width="11.46484375" style="3" customWidth="1"/>
    <col min="7189" max="7189" width="12.53125" style="3" customWidth="1"/>
    <col min="7190" max="7190" width="10.19921875" style="3" customWidth="1"/>
    <col min="7191" max="7192" width="12" style="3" bestFit="1" customWidth="1"/>
    <col min="7193" max="7194" width="11" style="3" customWidth="1"/>
    <col min="7195" max="7195" width="12.46484375" style="3" customWidth="1"/>
    <col min="7196" max="7196" width="9.53125" style="3" customWidth="1"/>
    <col min="7197" max="7197" width="11.19921875" style="3" customWidth="1"/>
    <col min="7198" max="7201" width="12" style="3" customWidth="1"/>
    <col min="7202" max="7202" width="9.19921875" style="3"/>
    <col min="7203" max="7203" width="20.19921875" style="3" customWidth="1"/>
    <col min="7204" max="7204" width="33.796875" style="3" customWidth="1"/>
    <col min="7205" max="7423" width="9.19921875" style="3"/>
    <col min="7424" max="7424" width="3.796875" style="3" customWidth="1"/>
    <col min="7425" max="7425" width="44.796875" style="3" customWidth="1"/>
    <col min="7426" max="7427" width="0" style="3" hidden="1" customWidth="1"/>
    <col min="7428" max="7428" width="9.796875" style="3" customWidth="1"/>
    <col min="7429" max="7429" width="10.796875" style="3" customWidth="1"/>
    <col min="7430" max="7430" width="12.796875" style="3" customWidth="1"/>
    <col min="7431" max="7431" width="10.19921875" style="3" customWidth="1"/>
    <col min="7432" max="7432" width="10.796875" style="3" customWidth="1"/>
    <col min="7433" max="7433" width="12" style="3" customWidth="1"/>
    <col min="7434" max="7434" width="8.19921875" style="3" customWidth="1"/>
    <col min="7435" max="7435" width="12.19921875" style="3" customWidth="1"/>
    <col min="7436" max="7436" width="12.46484375" style="3" customWidth="1"/>
    <col min="7437" max="7437" width="8.19921875" style="3" customWidth="1"/>
    <col min="7438" max="7438" width="11.46484375" style="3" customWidth="1"/>
    <col min="7439" max="7439" width="13" style="3" customWidth="1"/>
    <col min="7440" max="7440" width="8" style="3" customWidth="1"/>
    <col min="7441" max="7441" width="12.19921875" style="3" customWidth="1"/>
    <col min="7442" max="7442" width="12.46484375" style="3" customWidth="1"/>
    <col min="7443" max="7443" width="9.19921875" style="3" customWidth="1"/>
    <col min="7444" max="7444" width="11.46484375" style="3" customWidth="1"/>
    <col min="7445" max="7445" width="12.53125" style="3" customWidth="1"/>
    <col min="7446" max="7446" width="10.19921875" style="3" customWidth="1"/>
    <col min="7447" max="7448" width="12" style="3" bestFit="1" customWidth="1"/>
    <col min="7449" max="7450" width="11" style="3" customWidth="1"/>
    <col min="7451" max="7451" width="12.46484375" style="3" customWidth="1"/>
    <col min="7452" max="7452" width="9.53125" style="3" customWidth="1"/>
    <col min="7453" max="7453" width="11.19921875" style="3" customWidth="1"/>
    <col min="7454" max="7457" width="12" style="3" customWidth="1"/>
    <col min="7458" max="7458" width="9.19921875" style="3"/>
    <col min="7459" max="7459" width="20.19921875" style="3" customWidth="1"/>
    <col min="7460" max="7460" width="33.796875" style="3" customWidth="1"/>
    <col min="7461" max="7679" width="9.19921875" style="3"/>
    <col min="7680" max="7680" width="3.796875" style="3" customWidth="1"/>
    <col min="7681" max="7681" width="44.796875" style="3" customWidth="1"/>
    <col min="7682" max="7683" width="0" style="3" hidden="1" customWidth="1"/>
    <col min="7684" max="7684" width="9.796875" style="3" customWidth="1"/>
    <col min="7685" max="7685" width="10.796875" style="3" customWidth="1"/>
    <col min="7686" max="7686" width="12.796875" style="3" customWidth="1"/>
    <col min="7687" max="7687" width="10.19921875" style="3" customWidth="1"/>
    <col min="7688" max="7688" width="10.796875" style="3" customWidth="1"/>
    <col min="7689" max="7689" width="12" style="3" customWidth="1"/>
    <col min="7690" max="7690" width="8.19921875" style="3" customWidth="1"/>
    <col min="7691" max="7691" width="12.19921875" style="3" customWidth="1"/>
    <col min="7692" max="7692" width="12.46484375" style="3" customWidth="1"/>
    <col min="7693" max="7693" width="8.19921875" style="3" customWidth="1"/>
    <col min="7694" max="7694" width="11.46484375" style="3" customWidth="1"/>
    <col min="7695" max="7695" width="13" style="3" customWidth="1"/>
    <col min="7696" max="7696" width="8" style="3" customWidth="1"/>
    <col min="7697" max="7697" width="12.19921875" style="3" customWidth="1"/>
    <col min="7698" max="7698" width="12.46484375" style="3" customWidth="1"/>
    <col min="7699" max="7699" width="9.19921875" style="3" customWidth="1"/>
    <col min="7700" max="7700" width="11.46484375" style="3" customWidth="1"/>
    <col min="7701" max="7701" width="12.53125" style="3" customWidth="1"/>
    <col min="7702" max="7702" width="10.19921875" style="3" customWidth="1"/>
    <col min="7703" max="7704" width="12" style="3" bestFit="1" customWidth="1"/>
    <col min="7705" max="7706" width="11" style="3" customWidth="1"/>
    <col min="7707" max="7707" width="12.46484375" style="3" customWidth="1"/>
    <col min="7708" max="7708" width="9.53125" style="3" customWidth="1"/>
    <col min="7709" max="7709" width="11.19921875" style="3" customWidth="1"/>
    <col min="7710" max="7713" width="12" style="3" customWidth="1"/>
    <col min="7714" max="7714" width="9.19921875" style="3"/>
    <col min="7715" max="7715" width="20.19921875" style="3" customWidth="1"/>
    <col min="7716" max="7716" width="33.796875" style="3" customWidth="1"/>
    <col min="7717" max="7935" width="9.19921875" style="3"/>
    <col min="7936" max="7936" width="3.796875" style="3" customWidth="1"/>
    <col min="7937" max="7937" width="44.796875" style="3" customWidth="1"/>
    <col min="7938" max="7939" width="0" style="3" hidden="1" customWidth="1"/>
    <col min="7940" max="7940" width="9.796875" style="3" customWidth="1"/>
    <col min="7941" max="7941" width="10.796875" style="3" customWidth="1"/>
    <col min="7942" max="7942" width="12.796875" style="3" customWidth="1"/>
    <col min="7943" max="7943" width="10.19921875" style="3" customWidth="1"/>
    <col min="7944" max="7944" width="10.796875" style="3" customWidth="1"/>
    <col min="7945" max="7945" width="12" style="3" customWidth="1"/>
    <col min="7946" max="7946" width="8.19921875" style="3" customWidth="1"/>
    <col min="7947" max="7947" width="12.19921875" style="3" customWidth="1"/>
    <col min="7948" max="7948" width="12.46484375" style="3" customWidth="1"/>
    <col min="7949" max="7949" width="8.19921875" style="3" customWidth="1"/>
    <col min="7950" max="7950" width="11.46484375" style="3" customWidth="1"/>
    <col min="7951" max="7951" width="13" style="3" customWidth="1"/>
    <col min="7952" max="7952" width="8" style="3" customWidth="1"/>
    <col min="7953" max="7953" width="12.19921875" style="3" customWidth="1"/>
    <col min="7954" max="7954" width="12.46484375" style="3" customWidth="1"/>
    <col min="7955" max="7955" width="9.19921875" style="3" customWidth="1"/>
    <col min="7956" max="7956" width="11.46484375" style="3" customWidth="1"/>
    <col min="7957" max="7957" width="12.53125" style="3" customWidth="1"/>
    <col min="7958" max="7958" width="10.19921875" style="3" customWidth="1"/>
    <col min="7959" max="7960" width="12" style="3" bestFit="1" customWidth="1"/>
    <col min="7961" max="7962" width="11" style="3" customWidth="1"/>
    <col min="7963" max="7963" width="12.46484375" style="3" customWidth="1"/>
    <col min="7964" max="7964" width="9.53125" style="3" customWidth="1"/>
    <col min="7965" max="7965" width="11.19921875" style="3" customWidth="1"/>
    <col min="7966" max="7969" width="12" style="3" customWidth="1"/>
    <col min="7970" max="7970" width="9.19921875" style="3"/>
    <col min="7971" max="7971" width="20.19921875" style="3" customWidth="1"/>
    <col min="7972" max="7972" width="33.796875" style="3" customWidth="1"/>
    <col min="7973" max="8191" width="9.19921875" style="3"/>
    <col min="8192" max="8192" width="3.796875" style="3" customWidth="1"/>
    <col min="8193" max="8193" width="44.796875" style="3" customWidth="1"/>
    <col min="8194" max="8195" width="0" style="3" hidden="1" customWidth="1"/>
    <col min="8196" max="8196" width="9.796875" style="3" customWidth="1"/>
    <col min="8197" max="8197" width="10.796875" style="3" customWidth="1"/>
    <col min="8198" max="8198" width="12.796875" style="3" customWidth="1"/>
    <col min="8199" max="8199" width="10.19921875" style="3" customWidth="1"/>
    <col min="8200" max="8200" width="10.796875" style="3" customWidth="1"/>
    <col min="8201" max="8201" width="12" style="3" customWidth="1"/>
    <col min="8202" max="8202" width="8.19921875" style="3" customWidth="1"/>
    <col min="8203" max="8203" width="12.19921875" style="3" customWidth="1"/>
    <col min="8204" max="8204" width="12.46484375" style="3" customWidth="1"/>
    <col min="8205" max="8205" width="8.19921875" style="3" customWidth="1"/>
    <col min="8206" max="8206" width="11.46484375" style="3" customWidth="1"/>
    <col min="8207" max="8207" width="13" style="3" customWidth="1"/>
    <col min="8208" max="8208" width="8" style="3" customWidth="1"/>
    <col min="8209" max="8209" width="12.19921875" style="3" customWidth="1"/>
    <col min="8210" max="8210" width="12.46484375" style="3" customWidth="1"/>
    <col min="8211" max="8211" width="9.19921875" style="3" customWidth="1"/>
    <col min="8212" max="8212" width="11.46484375" style="3" customWidth="1"/>
    <col min="8213" max="8213" width="12.53125" style="3" customWidth="1"/>
    <col min="8214" max="8214" width="10.19921875" style="3" customWidth="1"/>
    <col min="8215" max="8216" width="12" style="3" bestFit="1" customWidth="1"/>
    <col min="8217" max="8218" width="11" style="3" customWidth="1"/>
    <col min="8219" max="8219" width="12.46484375" style="3" customWidth="1"/>
    <col min="8220" max="8220" width="9.53125" style="3" customWidth="1"/>
    <col min="8221" max="8221" width="11.19921875" style="3" customWidth="1"/>
    <col min="8222" max="8225" width="12" style="3" customWidth="1"/>
    <col min="8226" max="8226" width="9.19921875" style="3"/>
    <col min="8227" max="8227" width="20.19921875" style="3" customWidth="1"/>
    <col min="8228" max="8228" width="33.796875" style="3" customWidth="1"/>
    <col min="8229" max="8447" width="9.19921875" style="3"/>
    <col min="8448" max="8448" width="3.796875" style="3" customWidth="1"/>
    <col min="8449" max="8449" width="44.796875" style="3" customWidth="1"/>
    <col min="8450" max="8451" width="0" style="3" hidden="1" customWidth="1"/>
    <col min="8452" max="8452" width="9.796875" style="3" customWidth="1"/>
    <col min="8453" max="8453" width="10.796875" style="3" customWidth="1"/>
    <col min="8454" max="8454" width="12.796875" style="3" customWidth="1"/>
    <col min="8455" max="8455" width="10.19921875" style="3" customWidth="1"/>
    <col min="8456" max="8456" width="10.796875" style="3" customWidth="1"/>
    <col min="8457" max="8457" width="12" style="3" customWidth="1"/>
    <col min="8458" max="8458" width="8.19921875" style="3" customWidth="1"/>
    <col min="8459" max="8459" width="12.19921875" style="3" customWidth="1"/>
    <col min="8460" max="8460" width="12.46484375" style="3" customWidth="1"/>
    <col min="8461" max="8461" width="8.19921875" style="3" customWidth="1"/>
    <col min="8462" max="8462" width="11.46484375" style="3" customWidth="1"/>
    <col min="8463" max="8463" width="13" style="3" customWidth="1"/>
    <col min="8464" max="8464" width="8" style="3" customWidth="1"/>
    <col min="8465" max="8465" width="12.19921875" style="3" customWidth="1"/>
    <col min="8466" max="8466" width="12.46484375" style="3" customWidth="1"/>
    <col min="8467" max="8467" width="9.19921875" style="3" customWidth="1"/>
    <col min="8468" max="8468" width="11.46484375" style="3" customWidth="1"/>
    <col min="8469" max="8469" width="12.53125" style="3" customWidth="1"/>
    <col min="8470" max="8470" width="10.19921875" style="3" customWidth="1"/>
    <col min="8471" max="8472" width="12" style="3" bestFit="1" customWidth="1"/>
    <col min="8473" max="8474" width="11" style="3" customWidth="1"/>
    <col min="8475" max="8475" width="12.46484375" style="3" customWidth="1"/>
    <col min="8476" max="8476" width="9.53125" style="3" customWidth="1"/>
    <col min="8477" max="8477" width="11.19921875" style="3" customWidth="1"/>
    <col min="8478" max="8481" width="12" style="3" customWidth="1"/>
    <col min="8482" max="8482" width="9.19921875" style="3"/>
    <col min="8483" max="8483" width="20.19921875" style="3" customWidth="1"/>
    <col min="8484" max="8484" width="33.796875" style="3" customWidth="1"/>
    <col min="8485" max="8703" width="9.19921875" style="3"/>
    <col min="8704" max="8704" width="3.796875" style="3" customWidth="1"/>
    <col min="8705" max="8705" width="44.796875" style="3" customWidth="1"/>
    <col min="8706" max="8707" width="0" style="3" hidden="1" customWidth="1"/>
    <col min="8708" max="8708" width="9.796875" style="3" customWidth="1"/>
    <col min="8709" max="8709" width="10.796875" style="3" customWidth="1"/>
    <col min="8710" max="8710" width="12.796875" style="3" customWidth="1"/>
    <col min="8711" max="8711" width="10.19921875" style="3" customWidth="1"/>
    <col min="8712" max="8712" width="10.796875" style="3" customWidth="1"/>
    <col min="8713" max="8713" width="12" style="3" customWidth="1"/>
    <col min="8714" max="8714" width="8.19921875" style="3" customWidth="1"/>
    <col min="8715" max="8715" width="12.19921875" style="3" customWidth="1"/>
    <col min="8716" max="8716" width="12.46484375" style="3" customWidth="1"/>
    <col min="8717" max="8717" width="8.19921875" style="3" customWidth="1"/>
    <col min="8718" max="8718" width="11.46484375" style="3" customWidth="1"/>
    <col min="8719" max="8719" width="13" style="3" customWidth="1"/>
    <col min="8720" max="8720" width="8" style="3" customWidth="1"/>
    <col min="8721" max="8721" width="12.19921875" style="3" customWidth="1"/>
    <col min="8722" max="8722" width="12.46484375" style="3" customWidth="1"/>
    <col min="8723" max="8723" width="9.19921875" style="3" customWidth="1"/>
    <col min="8724" max="8724" width="11.46484375" style="3" customWidth="1"/>
    <col min="8725" max="8725" width="12.53125" style="3" customWidth="1"/>
    <col min="8726" max="8726" width="10.19921875" style="3" customWidth="1"/>
    <col min="8727" max="8728" width="12" style="3" bestFit="1" customWidth="1"/>
    <col min="8729" max="8730" width="11" style="3" customWidth="1"/>
    <col min="8731" max="8731" width="12.46484375" style="3" customWidth="1"/>
    <col min="8732" max="8732" width="9.53125" style="3" customWidth="1"/>
    <col min="8733" max="8733" width="11.19921875" style="3" customWidth="1"/>
    <col min="8734" max="8737" width="12" style="3" customWidth="1"/>
    <col min="8738" max="8738" width="9.19921875" style="3"/>
    <col min="8739" max="8739" width="20.19921875" style="3" customWidth="1"/>
    <col min="8740" max="8740" width="33.796875" style="3" customWidth="1"/>
    <col min="8741" max="8959" width="9.19921875" style="3"/>
    <col min="8960" max="8960" width="3.796875" style="3" customWidth="1"/>
    <col min="8961" max="8961" width="44.796875" style="3" customWidth="1"/>
    <col min="8962" max="8963" width="0" style="3" hidden="1" customWidth="1"/>
    <col min="8964" max="8964" width="9.796875" style="3" customWidth="1"/>
    <col min="8965" max="8965" width="10.796875" style="3" customWidth="1"/>
    <col min="8966" max="8966" width="12.796875" style="3" customWidth="1"/>
    <col min="8967" max="8967" width="10.19921875" style="3" customWidth="1"/>
    <col min="8968" max="8968" width="10.796875" style="3" customWidth="1"/>
    <col min="8969" max="8969" width="12" style="3" customWidth="1"/>
    <col min="8970" max="8970" width="8.19921875" style="3" customWidth="1"/>
    <col min="8971" max="8971" width="12.19921875" style="3" customWidth="1"/>
    <col min="8972" max="8972" width="12.46484375" style="3" customWidth="1"/>
    <col min="8973" max="8973" width="8.19921875" style="3" customWidth="1"/>
    <col min="8974" max="8974" width="11.46484375" style="3" customWidth="1"/>
    <col min="8975" max="8975" width="13" style="3" customWidth="1"/>
    <col min="8976" max="8976" width="8" style="3" customWidth="1"/>
    <col min="8977" max="8977" width="12.19921875" style="3" customWidth="1"/>
    <col min="8978" max="8978" width="12.46484375" style="3" customWidth="1"/>
    <col min="8979" max="8979" width="9.19921875" style="3" customWidth="1"/>
    <col min="8980" max="8980" width="11.46484375" style="3" customWidth="1"/>
    <col min="8981" max="8981" width="12.53125" style="3" customWidth="1"/>
    <col min="8982" max="8982" width="10.19921875" style="3" customWidth="1"/>
    <col min="8983" max="8984" width="12" style="3" bestFit="1" customWidth="1"/>
    <col min="8985" max="8986" width="11" style="3" customWidth="1"/>
    <col min="8987" max="8987" width="12.46484375" style="3" customWidth="1"/>
    <col min="8988" max="8988" width="9.53125" style="3" customWidth="1"/>
    <col min="8989" max="8989" width="11.19921875" style="3" customWidth="1"/>
    <col min="8990" max="8993" width="12" style="3" customWidth="1"/>
    <col min="8994" max="8994" width="9.19921875" style="3"/>
    <col min="8995" max="8995" width="20.19921875" style="3" customWidth="1"/>
    <col min="8996" max="8996" width="33.796875" style="3" customWidth="1"/>
    <col min="8997" max="9215" width="9.19921875" style="3"/>
    <col min="9216" max="9216" width="3.796875" style="3" customWidth="1"/>
    <col min="9217" max="9217" width="44.796875" style="3" customWidth="1"/>
    <col min="9218" max="9219" width="0" style="3" hidden="1" customWidth="1"/>
    <col min="9220" max="9220" width="9.796875" style="3" customWidth="1"/>
    <col min="9221" max="9221" width="10.796875" style="3" customWidth="1"/>
    <col min="9222" max="9222" width="12.796875" style="3" customWidth="1"/>
    <col min="9223" max="9223" width="10.19921875" style="3" customWidth="1"/>
    <col min="9224" max="9224" width="10.796875" style="3" customWidth="1"/>
    <col min="9225" max="9225" width="12" style="3" customWidth="1"/>
    <col min="9226" max="9226" width="8.19921875" style="3" customWidth="1"/>
    <col min="9227" max="9227" width="12.19921875" style="3" customWidth="1"/>
    <col min="9228" max="9228" width="12.46484375" style="3" customWidth="1"/>
    <col min="9229" max="9229" width="8.19921875" style="3" customWidth="1"/>
    <col min="9230" max="9230" width="11.46484375" style="3" customWidth="1"/>
    <col min="9231" max="9231" width="13" style="3" customWidth="1"/>
    <col min="9232" max="9232" width="8" style="3" customWidth="1"/>
    <col min="9233" max="9233" width="12.19921875" style="3" customWidth="1"/>
    <col min="9234" max="9234" width="12.46484375" style="3" customWidth="1"/>
    <col min="9235" max="9235" width="9.19921875" style="3" customWidth="1"/>
    <col min="9236" max="9236" width="11.46484375" style="3" customWidth="1"/>
    <col min="9237" max="9237" width="12.53125" style="3" customWidth="1"/>
    <col min="9238" max="9238" width="10.19921875" style="3" customWidth="1"/>
    <col min="9239" max="9240" width="12" style="3" bestFit="1" customWidth="1"/>
    <col min="9241" max="9242" width="11" style="3" customWidth="1"/>
    <col min="9243" max="9243" width="12.46484375" style="3" customWidth="1"/>
    <col min="9244" max="9244" width="9.53125" style="3" customWidth="1"/>
    <col min="9245" max="9245" width="11.19921875" style="3" customWidth="1"/>
    <col min="9246" max="9249" width="12" style="3" customWidth="1"/>
    <col min="9250" max="9250" width="9.19921875" style="3"/>
    <col min="9251" max="9251" width="20.19921875" style="3" customWidth="1"/>
    <col min="9252" max="9252" width="33.796875" style="3" customWidth="1"/>
    <col min="9253" max="9471" width="9.19921875" style="3"/>
    <col min="9472" max="9472" width="3.796875" style="3" customWidth="1"/>
    <col min="9473" max="9473" width="44.796875" style="3" customWidth="1"/>
    <col min="9474" max="9475" width="0" style="3" hidden="1" customWidth="1"/>
    <col min="9476" max="9476" width="9.796875" style="3" customWidth="1"/>
    <col min="9477" max="9477" width="10.796875" style="3" customWidth="1"/>
    <col min="9478" max="9478" width="12.796875" style="3" customWidth="1"/>
    <col min="9479" max="9479" width="10.19921875" style="3" customWidth="1"/>
    <col min="9480" max="9480" width="10.796875" style="3" customWidth="1"/>
    <col min="9481" max="9481" width="12" style="3" customWidth="1"/>
    <col min="9482" max="9482" width="8.19921875" style="3" customWidth="1"/>
    <col min="9483" max="9483" width="12.19921875" style="3" customWidth="1"/>
    <col min="9484" max="9484" width="12.46484375" style="3" customWidth="1"/>
    <col min="9485" max="9485" width="8.19921875" style="3" customWidth="1"/>
    <col min="9486" max="9486" width="11.46484375" style="3" customWidth="1"/>
    <col min="9487" max="9487" width="13" style="3" customWidth="1"/>
    <col min="9488" max="9488" width="8" style="3" customWidth="1"/>
    <col min="9489" max="9489" width="12.19921875" style="3" customWidth="1"/>
    <col min="9490" max="9490" width="12.46484375" style="3" customWidth="1"/>
    <col min="9491" max="9491" width="9.19921875" style="3" customWidth="1"/>
    <col min="9492" max="9492" width="11.46484375" style="3" customWidth="1"/>
    <col min="9493" max="9493" width="12.53125" style="3" customWidth="1"/>
    <col min="9494" max="9494" width="10.19921875" style="3" customWidth="1"/>
    <col min="9495" max="9496" width="12" style="3" bestFit="1" customWidth="1"/>
    <col min="9497" max="9498" width="11" style="3" customWidth="1"/>
    <col min="9499" max="9499" width="12.46484375" style="3" customWidth="1"/>
    <col min="9500" max="9500" width="9.53125" style="3" customWidth="1"/>
    <col min="9501" max="9501" width="11.19921875" style="3" customWidth="1"/>
    <col min="9502" max="9505" width="12" style="3" customWidth="1"/>
    <col min="9506" max="9506" width="9.19921875" style="3"/>
    <col min="9507" max="9507" width="20.19921875" style="3" customWidth="1"/>
    <col min="9508" max="9508" width="33.796875" style="3" customWidth="1"/>
    <col min="9509" max="9727" width="9.19921875" style="3"/>
    <col min="9728" max="9728" width="3.796875" style="3" customWidth="1"/>
    <col min="9729" max="9729" width="44.796875" style="3" customWidth="1"/>
    <col min="9730" max="9731" width="0" style="3" hidden="1" customWidth="1"/>
    <col min="9732" max="9732" width="9.796875" style="3" customWidth="1"/>
    <col min="9733" max="9733" width="10.796875" style="3" customWidth="1"/>
    <col min="9734" max="9734" width="12.796875" style="3" customWidth="1"/>
    <col min="9735" max="9735" width="10.19921875" style="3" customWidth="1"/>
    <col min="9736" max="9736" width="10.796875" style="3" customWidth="1"/>
    <col min="9737" max="9737" width="12" style="3" customWidth="1"/>
    <col min="9738" max="9738" width="8.19921875" style="3" customWidth="1"/>
    <col min="9739" max="9739" width="12.19921875" style="3" customWidth="1"/>
    <col min="9740" max="9740" width="12.46484375" style="3" customWidth="1"/>
    <col min="9741" max="9741" width="8.19921875" style="3" customWidth="1"/>
    <col min="9742" max="9742" width="11.46484375" style="3" customWidth="1"/>
    <col min="9743" max="9743" width="13" style="3" customWidth="1"/>
    <col min="9744" max="9744" width="8" style="3" customWidth="1"/>
    <col min="9745" max="9745" width="12.19921875" style="3" customWidth="1"/>
    <col min="9746" max="9746" width="12.46484375" style="3" customWidth="1"/>
    <col min="9747" max="9747" width="9.19921875" style="3" customWidth="1"/>
    <col min="9748" max="9748" width="11.46484375" style="3" customWidth="1"/>
    <col min="9749" max="9749" width="12.53125" style="3" customWidth="1"/>
    <col min="9750" max="9750" width="10.19921875" style="3" customWidth="1"/>
    <col min="9751" max="9752" width="12" style="3" bestFit="1" customWidth="1"/>
    <col min="9753" max="9754" width="11" style="3" customWidth="1"/>
    <col min="9755" max="9755" width="12.46484375" style="3" customWidth="1"/>
    <col min="9756" max="9756" width="9.53125" style="3" customWidth="1"/>
    <col min="9757" max="9757" width="11.19921875" style="3" customWidth="1"/>
    <col min="9758" max="9761" width="12" style="3" customWidth="1"/>
    <col min="9762" max="9762" width="9.19921875" style="3"/>
    <col min="9763" max="9763" width="20.19921875" style="3" customWidth="1"/>
    <col min="9764" max="9764" width="33.796875" style="3" customWidth="1"/>
    <col min="9765" max="9983" width="9.19921875" style="3"/>
    <col min="9984" max="9984" width="3.796875" style="3" customWidth="1"/>
    <col min="9985" max="9985" width="44.796875" style="3" customWidth="1"/>
    <col min="9986" max="9987" width="0" style="3" hidden="1" customWidth="1"/>
    <col min="9988" max="9988" width="9.796875" style="3" customWidth="1"/>
    <col min="9989" max="9989" width="10.796875" style="3" customWidth="1"/>
    <col min="9990" max="9990" width="12.796875" style="3" customWidth="1"/>
    <col min="9991" max="9991" width="10.19921875" style="3" customWidth="1"/>
    <col min="9992" max="9992" width="10.796875" style="3" customWidth="1"/>
    <col min="9993" max="9993" width="12" style="3" customWidth="1"/>
    <col min="9994" max="9994" width="8.19921875" style="3" customWidth="1"/>
    <col min="9995" max="9995" width="12.19921875" style="3" customWidth="1"/>
    <col min="9996" max="9996" width="12.46484375" style="3" customWidth="1"/>
    <col min="9997" max="9997" width="8.19921875" style="3" customWidth="1"/>
    <col min="9998" max="9998" width="11.46484375" style="3" customWidth="1"/>
    <col min="9999" max="9999" width="13" style="3" customWidth="1"/>
    <col min="10000" max="10000" width="8" style="3" customWidth="1"/>
    <col min="10001" max="10001" width="12.19921875" style="3" customWidth="1"/>
    <col min="10002" max="10002" width="12.46484375" style="3" customWidth="1"/>
    <col min="10003" max="10003" width="9.19921875" style="3" customWidth="1"/>
    <col min="10004" max="10004" width="11.46484375" style="3" customWidth="1"/>
    <col min="10005" max="10005" width="12.53125" style="3" customWidth="1"/>
    <col min="10006" max="10006" width="10.19921875" style="3" customWidth="1"/>
    <col min="10007" max="10008" width="12" style="3" bestFit="1" customWidth="1"/>
    <col min="10009" max="10010" width="11" style="3" customWidth="1"/>
    <col min="10011" max="10011" width="12.46484375" style="3" customWidth="1"/>
    <col min="10012" max="10012" width="9.53125" style="3" customWidth="1"/>
    <col min="10013" max="10013" width="11.19921875" style="3" customWidth="1"/>
    <col min="10014" max="10017" width="12" style="3" customWidth="1"/>
    <col min="10018" max="10018" width="9.19921875" style="3"/>
    <col min="10019" max="10019" width="20.19921875" style="3" customWidth="1"/>
    <col min="10020" max="10020" width="33.796875" style="3" customWidth="1"/>
    <col min="10021" max="10239" width="9.19921875" style="3"/>
    <col min="10240" max="10240" width="3.796875" style="3" customWidth="1"/>
    <col min="10241" max="10241" width="44.796875" style="3" customWidth="1"/>
    <col min="10242" max="10243" width="0" style="3" hidden="1" customWidth="1"/>
    <col min="10244" max="10244" width="9.796875" style="3" customWidth="1"/>
    <col min="10245" max="10245" width="10.796875" style="3" customWidth="1"/>
    <col min="10246" max="10246" width="12.796875" style="3" customWidth="1"/>
    <col min="10247" max="10247" width="10.19921875" style="3" customWidth="1"/>
    <col min="10248" max="10248" width="10.796875" style="3" customWidth="1"/>
    <col min="10249" max="10249" width="12" style="3" customWidth="1"/>
    <col min="10250" max="10250" width="8.19921875" style="3" customWidth="1"/>
    <col min="10251" max="10251" width="12.19921875" style="3" customWidth="1"/>
    <col min="10252" max="10252" width="12.46484375" style="3" customWidth="1"/>
    <col min="10253" max="10253" width="8.19921875" style="3" customWidth="1"/>
    <col min="10254" max="10254" width="11.46484375" style="3" customWidth="1"/>
    <col min="10255" max="10255" width="13" style="3" customWidth="1"/>
    <col min="10256" max="10256" width="8" style="3" customWidth="1"/>
    <col min="10257" max="10257" width="12.19921875" style="3" customWidth="1"/>
    <col min="10258" max="10258" width="12.46484375" style="3" customWidth="1"/>
    <col min="10259" max="10259" width="9.19921875" style="3" customWidth="1"/>
    <col min="10260" max="10260" width="11.46484375" style="3" customWidth="1"/>
    <col min="10261" max="10261" width="12.53125" style="3" customWidth="1"/>
    <col min="10262" max="10262" width="10.19921875" style="3" customWidth="1"/>
    <col min="10263" max="10264" width="12" style="3" bestFit="1" customWidth="1"/>
    <col min="10265" max="10266" width="11" style="3" customWidth="1"/>
    <col min="10267" max="10267" width="12.46484375" style="3" customWidth="1"/>
    <col min="10268" max="10268" width="9.53125" style="3" customWidth="1"/>
    <col min="10269" max="10269" width="11.19921875" style="3" customWidth="1"/>
    <col min="10270" max="10273" width="12" style="3" customWidth="1"/>
    <col min="10274" max="10274" width="9.19921875" style="3"/>
    <col min="10275" max="10275" width="20.19921875" style="3" customWidth="1"/>
    <col min="10276" max="10276" width="33.796875" style="3" customWidth="1"/>
    <col min="10277" max="10495" width="9.19921875" style="3"/>
    <col min="10496" max="10496" width="3.796875" style="3" customWidth="1"/>
    <col min="10497" max="10497" width="44.796875" style="3" customWidth="1"/>
    <col min="10498" max="10499" width="0" style="3" hidden="1" customWidth="1"/>
    <col min="10500" max="10500" width="9.796875" style="3" customWidth="1"/>
    <col min="10501" max="10501" width="10.796875" style="3" customWidth="1"/>
    <col min="10502" max="10502" width="12.796875" style="3" customWidth="1"/>
    <col min="10503" max="10503" width="10.19921875" style="3" customWidth="1"/>
    <col min="10504" max="10504" width="10.796875" style="3" customWidth="1"/>
    <col min="10505" max="10505" width="12" style="3" customWidth="1"/>
    <col min="10506" max="10506" width="8.19921875" style="3" customWidth="1"/>
    <col min="10507" max="10507" width="12.19921875" style="3" customWidth="1"/>
    <col min="10508" max="10508" width="12.46484375" style="3" customWidth="1"/>
    <col min="10509" max="10509" width="8.19921875" style="3" customWidth="1"/>
    <col min="10510" max="10510" width="11.46484375" style="3" customWidth="1"/>
    <col min="10511" max="10511" width="13" style="3" customWidth="1"/>
    <col min="10512" max="10512" width="8" style="3" customWidth="1"/>
    <col min="10513" max="10513" width="12.19921875" style="3" customWidth="1"/>
    <col min="10514" max="10514" width="12.46484375" style="3" customWidth="1"/>
    <col min="10515" max="10515" width="9.19921875" style="3" customWidth="1"/>
    <col min="10516" max="10516" width="11.46484375" style="3" customWidth="1"/>
    <col min="10517" max="10517" width="12.53125" style="3" customWidth="1"/>
    <col min="10518" max="10518" width="10.19921875" style="3" customWidth="1"/>
    <col min="10519" max="10520" width="12" style="3" bestFit="1" customWidth="1"/>
    <col min="10521" max="10522" width="11" style="3" customWidth="1"/>
    <col min="10523" max="10523" width="12.46484375" style="3" customWidth="1"/>
    <col min="10524" max="10524" width="9.53125" style="3" customWidth="1"/>
    <col min="10525" max="10525" width="11.19921875" style="3" customWidth="1"/>
    <col min="10526" max="10529" width="12" style="3" customWidth="1"/>
    <col min="10530" max="10530" width="9.19921875" style="3"/>
    <col min="10531" max="10531" width="20.19921875" style="3" customWidth="1"/>
    <col min="10532" max="10532" width="33.796875" style="3" customWidth="1"/>
    <col min="10533" max="10751" width="9.19921875" style="3"/>
    <col min="10752" max="10752" width="3.796875" style="3" customWidth="1"/>
    <col min="10753" max="10753" width="44.796875" style="3" customWidth="1"/>
    <col min="10754" max="10755" width="0" style="3" hidden="1" customWidth="1"/>
    <col min="10756" max="10756" width="9.796875" style="3" customWidth="1"/>
    <col min="10757" max="10757" width="10.796875" style="3" customWidth="1"/>
    <col min="10758" max="10758" width="12.796875" style="3" customWidth="1"/>
    <col min="10759" max="10759" width="10.19921875" style="3" customWidth="1"/>
    <col min="10760" max="10760" width="10.796875" style="3" customWidth="1"/>
    <col min="10761" max="10761" width="12" style="3" customWidth="1"/>
    <col min="10762" max="10762" width="8.19921875" style="3" customWidth="1"/>
    <col min="10763" max="10763" width="12.19921875" style="3" customWidth="1"/>
    <col min="10764" max="10764" width="12.46484375" style="3" customWidth="1"/>
    <col min="10765" max="10765" width="8.19921875" style="3" customWidth="1"/>
    <col min="10766" max="10766" width="11.46484375" style="3" customWidth="1"/>
    <col min="10767" max="10767" width="13" style="3" customWidth="1"/>
    <col min="10768" max="10768" width="8" style="3" customWidth="1"/>
    <col min="10769" max="10769" width="12.19921875" style="3" customWidth="1"/>
    <col min="10770" max="10770" width="12.46484375" style="3" customWidth="1"/>
    <col min="10771" max="10771" width="9.19921875" style="3" customWidth="1"/>
    <col min="10772" max="10772" width="11.46484375" style="3" customWidth="1"/>
    <col min="10773" max="10773" width="12.53125" style="3" customWidth="1"/>
    <col min="10774" max="10774" width="10.19921875" style="3" customWidth="1"/>
    <col min="10775" max="10776" width="12" style="3" bestFit="1" customWidth="1"/>
    <col min="10777" max="10778" width="11" style="3" customWidth="1"/>
    <col min="10779" max="10779" width="12.46484375" style="3" customWidth="1"/>
    <col min="10780" max="10780" width="9.53125" style="3" customWidth="1"/>
    <col min="10781" max="10781" width="11.19921875" style="3" customWidth="1"/>
    <col min="10782" max="10785" width="12" style="3" customWidth="1"/>
    <col min="10786" max="10786" width="9.19921875" style="3"/>
    <col min="10787" max="10787" width="20.19921875" style="3" customWidth="1"/>
    <col min="10788" max="10788" width="33.796875" style="3" customWidth="1"/>
    <col min="10789" max="11007" width="9.19921875" style="3"/>
    <col min="11008" max="11008" width="3.796875" style="3" customWidth="1"/>
    <col min="11009" max="11009" width="44.796875" style="3" customWidth="1"/>
    <col min="11010" max="11011" width="0" style="3" hidden="1" customWidth="1"/>
    <col min="11012" max="11012" width="9.796875" style="3" customWidth="1"/>
    <col min="11013" max="11013" width="10.796875" style="3" customWidth="1"/>
    <col min="11014" max="11014" width="12.796875" style="3" customWidth="1"/>
    <col min="11015" max="11015" width="10.19921875" style="3" customWidth="1"/>
    <col min="11016" max="11016" width="10.796875" style="3" customWidth="1"/>
    <col min="11017" max="11017" width="12" style="3" customWidth="1"/>
    <col min="11018" max="11018" width="8.19921875" style="3" customWidth="1"/>
    <col min="11019" max="11019" width="12.19921875" style="3" customWidth="1"/>
    <col min="11020" max="11020" width="12.46484375" style="3" customWidth="1"/>
    <col min="11021" max="11021" width="8.19921875" style="3" customWidth="1"/>
    <col min="11022" max="11022" width="11.46484375" style="3" customWidth="1"/>
    <col min="11023" max="11023" width="13" style="3" customWidth="1"/>
    <col min="11024" max="11024" width="8" style="3" customWidth="1"/>
    <col min="11025" max="11025" width="12.19921875" style="3" customWidth="1"/>
    <col min="11026" max="11026" width="12.46484375" style="3" customWidth="1"/>
    <col min="11027" max="11027" width="9.19921875" style="3" customWidth="1"/>
    <col min="11028" max="11028" width="11.46484375" style="3" customWidth="1"/>
    <col min="11029" max="11029" width="12.53125" style="3" customWidth="1"/>
    <col min="11030" max="11030" width="10.19921875" style="3" customWidth="1"/>
    <col min="11031" max="11032" width="12" style="3" bestFit="1" customWidth="1"/>
    <col min="11033" max="11034" width="11" style="3" customWidth="1"/>
    <col min="11035" max="11035" width="12.46484375" style="3" customWidth="1"/>
    <col min="11036" max="11036" width="9.53125" style="3" customWidth="1"/>
    <col min="11037" max="11037" width="11.19921875" style="3" customWidth="1"/>
    <col min="11038" max="11041" width="12" style="3" customWidth="1"/>
    <col min="11042" max="11042" width="9.19921875" style="3"/>
    <col min="11043" max="11043" width="20.19921875" style="3" customWidth="1"/>
    <col min="11044" max="11044" width="33.796875" style="3" customWidth="1"/>
    <col min="11045" max="11263" width="9.19921875" style="3"/>
    <col min="11264" max="11264" width="3.796875" style="3" customWidth="1"/>
    <col min="11265" max="11265" width="44.796875" style="3" customWidth="1"/>
    <col min="11266" max="11267" width="0" style="3" hidden="1" customWidth="1"/>
    <col min="11268" max="11268" width="9.796875" style="3" customWidth="1"/>
    <col min="11269" max="11269" width="10.796875" style="3" customWidth="1"/>
    <col min="11270" max="11270" width="12.796875" style="3" customWidth="1"/>
    <col min="11271" max="11271" width="10.19921875" style="3" customWidth="1"/>
    <col min="11272" max="11272" width="10.796875" style="3" customWidth="1"/>
    <col min="11273" max="11273" width="12" style="3" customWidth="1"/>
    <col min="11274" max="11274" width="8.19921875" style="3" customWidth="1"/>
    <col min="11275" max="11275" width="12.19921875" style="3" customWidth="1"/>
    <col min="11276" max="11276" width="12.46484375" style="3" customWidth="1"/>
    <col min="11277" max="11277" width="8.19921875" style="3" customWidth="1"/>
    <col min="11278" max="11278" width="11.46484375" style="3" customWidth="1"/>
    <col min="11279" max="11279" width="13" style="3" customWidth="1"/>
    <col min="11280" max="11280" width="8" style="3" customWidth="1"/>
    <col min="11281" max="11281" width="12.19921875" style="3" customWidth="1"/>
    <col min="11282" max="11282" width="12.46484375" style="3" customWidth="1"/>
    <col min="11283" max="11283" width="9.19921875" style="3" customWidth="1"/>
    <col min="11284" max="11284" width="11.46484375" style="3" customWidth="1"/>
    <col min="11285" max="11285" width="12.53125" style="3" customWidth="1"/>
    <col min="11286" max="11286" width="10.19921875" style="3" customWidth="1"/>
    <col min="11287" max="11288" width="12" style="3" bestFit="1" customWidth="1"/>
    <col min="11289" max="11290" width="11" style="3" customWidth="1"/>
    <col min="11291" max="11291" width="12.46484375" style="3" customWidth="1"/>
    <col min="11292" max="11292" width="9.53125" style="3" customWidth="1"/>
    <col min="11293" max="11293" width="11.19921875" style="3" customWidth="1"/>
    <col min="11294" max="11297" width="12" style="3" customWidth="1"/>
    <col min="11298" max="11298" width="9.19921875" style="3"/>
    <col min="11299" max="11299" width="20.19921875" style="3" customWidth="1"/>
    <col min="11300" max="11300" width="33.796875" style="3" customWidth="1"/>
    <col min="11301" max="11519" width="9.19921875" style="3"/>
    <col min="11520" max="11520" width="3.796875" style="3" customWidth="1"/>
    <col min="11521" max="11521" width="44.796875" style="3" customWidth="1"/>
    <col min="11522" max="11523" width="0" style="3" hidden="1" customWidth="1"/>
    <col min="11524" max="11524" width="9.796875" style="3" customWidth="1"/>
    <col min="11525" max="11525" width="10.796875" style="3" customWidth="1"/>
    <col min="11526" max="11526" width="12.796875" style="3" customWidth="1"/>
    <col min="11527" max="11527" width="10.19921875" style="3" customWidth="1"/>
    <col min="11528" max="11528" width="10.796875" style="3" customWidth="1"/>
    <col min="11529" max="11529" width="12" style="3" customWidth="1"/>
    <col min="11530" max="11530" width="8.19921875" style="3" customWidth="1"/>
    <col min="11531" max="11531" width="12.19921875" style="3" customWidth="1"/>
    <col min="11532" max="11532" width="12.46484375" style="3" customWidth="1"/>
    <col min="11533" max="11533" width="8.19921875" style="3" customWidth="1"/>
    <col min="11534" max="11534" width="11.46484375" style="3" customWidth="1"/>
    <col min="11535" max="11535" width="13" style="3" customWidth="1"/>
    <col min="11536" max="11536" width="8" style="3" customWidth="1"/>
    <col min="11537" max="11537" width="12.19921875" style="3" customWidth="1"/>
    <col min="11538" max="11538" width="12.46484375" style="3" customWidth="1"/>
    <col min="11539" max="11539" width="9.19921875" style="3" customWidth="1"/>
    <col min="11540" max="11540" width="11.46484375" style="3" customWidth="1"/>
    <col min="11541" max="11541" width="12.53125" style="3" customWidth="1"/>
    <col min="11542" max="11542" width="10.19921875" style="3" customWidth="1"/>
    <col min="11543" max="11544" width="12" style="3" bestFit="1" customWidth="1"/>
    <col min="11545" max="11546" width="11" style="3" customWidth="1"/>
    <col min="11547" max="11547" width="12.46484375" style="3" customWidth="1"/>
    <col min="11548" max="11548" width="9.53125" style="3" customWidth="1"/>
    <col min="11549" max="11549" width="11.19921875" style="3" customWidth="1"/>
    <col min="11550" max="11553" width="12" style="3" customWidth="1"/>
    <col min="11554" max="11554" width="9.19921875" style="3"/>
    <col min="11555" max="11555" width="20.19921875" style="3" customWidth="1"/>
    <col min="11556" max="11556" width="33.796875" style="3" customWidth="1"/>
    <col min="11557" max="11775" width="9.19921875" style="3"/>
    <col min="11776" max="11776" width="3.796875" style="3" customWidth="1"/>
    <col min="11777" max="11777" width="44.796875" style="3" customWidth="1"/>
    <col min="11778" max="11779" width="0" style="3" hidden="1" customWidth="1"/>
    <col min="11780" max="11780" width="9.796875" style="3" customWidth="1"/>
    <col min="11781" max="11781" width="10.796875" style="3" customWidth="1"/>
    <col min="11782" max="11782" width="12.796875" style="3" customWidth="1"/>
    <col min="11783" max="11783" width="10.19921875" style="3" customWidth="1"/>
    <col min="11784" max="11784" width="10.796875" style="3" customWidth="1"/>
    <col min="11785" max="11785" width="12" style="3" customWidth="1"/>
    <col min="11786" max="11786" width="8.19921875" style="3" customWidth="1"/>
    <col min="11787" max="11787" width="12.19921875" style="3" customWidth="1"/>
    <col min="11788" max="11788" width="12.46484375" style="3" customWidth="1"/>
    <col min="11789" max="11789" width="8.19921875" style="3" customWidth="1"/>
    <col min="11790" max="11790" width="11.46484375" style="3" customWidth="1"/>
    <col min="11791" max="11791" width="13" style="3" customWidth="1"/>
    <col min="11792" max="11792" width="8" style="3" customWidth="1"/>
    <col min="11793" max="11793" width="12.19921875" style="3" customWidth="1"/>
    <col min="11794" max="11794" width="12.46484375" style="3" customWidth="1"/>
    <col min="11795" max="11795" width="9.19921875" style="3" customWidth="1"/>
    <col min="11796" max="11796" width="11.46484375" style="3" customWidth="1"/>
    <col min="11797" max="11797" width="12.53125" style="3" customWidth="1"/>
    <col min="11798" max="11798" width="10.19921875" style="3" customWidth="1"/>
    <col min="11799" max="11800" width="12" style="3" bestFit="1" customWidth="1"/>
    <col min="11801" max="11802" width="11" style="3" customWidth="1"/>
    <col min="11803" max="11803" width="12.46484375" style="3" customWidth="1"/>
    <col min="11804" max="11804" width="9.53125" style="3" customWidth="1"/>
    <col min="11805" max="11805" width="11.19921875" style="3" customWidth="1"/>
    <col min="11806" max="11809" width="12" style="3" customWidth="1"/>
    <col min="11810" max="11810" width="9.19921875" style="3"/>
    <col min="11811" max="11811" width="20.19921875" style="3" customWidth="1"/>
    <col min="11812" max="11812" width="33.796875" style="3" customWidth="1"/>
    <col min="11813" max="12031" width="9.19921875" style="3"/>
    <col min="12032" max="12032" width="3.796875" style="3" customWidth="1"/>
    <col min="12033" max="12033" width="44.796875" style="3" customWidth="1"/>
    <col min="12034" max="12035" width="0" style="3" hidden="1" customWidth="1"/>
    <col min="12036" max="12036" width="9.796875" style="3" customWidth="1"/>
    <col min="12037" max="12037" width="10.796875" style="3" customWidth="1"/>
    <col min="12038" max="12038" width="12.796875" style="3" customWidth="1"/>
    <col min="12039" max="12039" width="10.19921875" style="3" customWidth="1"/>
    <col min="12040" max="12040" width="10.796875" style="3" customWidth="1"/>
    <col min="12041" max="12041" width="12" style="3" customWidth="1"/>
    <col min="12042" max="12042" width="8.19921875" style="3" customWidth="1"/>
    <col min="12043" max="12043" width="12.19921875" style="3" customWidth="1"/>
    <col min="12044" max="12044" width="12.46484375" style="3" customWidth="1"/>
    <col min="12045" max="12045" width="8.19921875" style="3" customWidth="1"/>
    <col min="12046" max="12046" width="11.46484375" style="3" customWidth="1"/>
    <col min="12047" max="12047" width="13" style="3" customWidth="1"/>
    <col min="12048" max="12048" width="8" style="3" customWidth="1"/>
    <col min="12049" max="12049" width="12.19921875" style="3" customWidth="1"/>
    <col min="12050" max="12050" width="12.46484375" style="3" customWidth="1"/>
    <col min="12051" max="12051" width="9.19921875" style="3" customWidth="1"/>
    <col min="12052" max="12052" width="11.46484375" style="3" customWidth="1"/>
    <col min="12053" max="12053" width="12.53125" style="3" customWidth="1"/>
    <col min="12054" max="12054" width="10.19921875" style="3" customWidth="1"/>
    <col min="12055" max="12056" width="12" style="3" bestFit="1" customWidth="1"/>
    <col min="12057" max="12058" width="11" style="3" customWidth="1"/>
    <col min="12059" max="12059" width="12.46484375" style="3" customWidth="1"/>
    <col min="12060" max="12060" width="9.53125" style="3" customWidth="1"/>
    <col min="12061" max="12061" width="11.19921875" style="3" customWidth="1"/>
    <col min="12062" max="12065" width="12" style="3" customWidth="1"/>
    <col min="12066" max="12066" width="9.19921875" style="3"/>
    <col min="12067" max="12067" width="20.19921875" style="3" customWidth="1"/>
    <col min="12068" max="12068" width="33.796875" style="3" customWidth="1"/>
    <col min="12069" max="12287" width="9.19921875" style="3"/>
    <col min="12288" max="12288" width="3.796875" style="3" customWidth="1"/>
    <col min="12289" max="12289" width="44.796875" style="3" customWidth="1"/>
    <col min="12290" max="12291" width="0" style="3" hidden="1" customWidth="1"/>
    <col min="12292" max="12292" width="9.796875" style="3" customWidth="1"/>
    <col min="12293" max="12293" width="10.796875" style="3" customWidth="1"/>
    <col min="12294" max="12294" width="12.796875" style="3" customWidth="1"/>
    <col min="12295" max="12295" width="10.19921875" style="3" customWidth="1"/>
    <col min="12296" max="12296" width="10.796875" style="3" customWidth="1"/>
    <col min="12297" max="12297" width="12" style="3" customWidth="1"/>
    <col min="12298" max="12298" width="8.19921875" style="3" customWidth="1"/>
    <col min="12299" max="12299" width="12.19921875" style="3" customWidth="1"/>
    <col min="12300" max="12300" width="12.46484375" style="3" customWidth="1"/>
    <col min="12301" max="12301" width="8.19921875" style="3" customWidth="1"/>
    <col min="12302" max="12302" width="11.46484375" style="3" customWidth="1"/>
    <col min="12303" max="12303" width="13" style="3" customWidth="1"/>
    <col min="12304" max="12304" width="8" style="3" customWidth="1"/>
    <col min="12305" max="12305" width="12.19921875" style="3" customWidth="1"/>
    <col min="12306" max="12306" width="12.46484375" style="3" customWidth="1"/>
    <col min="12307" max="12307" width="9.19921875" style="3" customWidth="1"/>
    <col min="12308" max="12308" width="11.46484375" style="3" customWidth="1"/>
    <col min="12309" max="12309" width="12.53125" style="3" customWidth="1"/>
    <col min="12310" max="12310" width="10.19921875" style="3" customWidth="1"/>
    <col min="12311" max="12312" width="12" style="3" bestFit="1" customWidth="1"/>
    <col min="12313" max="12314" width="11" style="3" customWidth="1"/>
    <col min="12315" max="12315" width="12.46484375" style="3" customWidth="1"/>
    <col min="12316" max="12316" width="9.53125" style="3" customWidth="1"/>
    <col min="12317" max="12317" width="11.19921875" style="3" customWidth="1"/>
    <col min="12318" max="12321" width="12" style="3" customWidth="1"/>
    <col min="12322" max="12322" width="9.19921875" style="3"/>
    <col min="12323" max="12323" width="20.19921875" style="3" customWidth="1"/>
    <col min="12324" max="12324" width="33.796875" style="3" customWidth="1"/>
    <col min="12325" max="12543" width="9.19921875" style="3"/>
    <col min="12544" max="12544" width="3.796875" style="3" customWidth="1"/>
    <col min="12545" max="12545" width="44.796875" style="3" customWidth="1"/>
    <col min="12546" max="12547" width="0" style="3" hidden="1" customWidth="1"/>
    <col min="12548" max="12548" width="9.796875" style="3" customWidth="1"/>
    <col min="12549" max="12549" width="10.796875" style="3" customWidth="1"/>
    <col min="12550" max="12550" width="12.796875" style="3" customWidth="1"/>
    <col min="12551" max="12551" width="10.19921875" style="3" customWidth="1"/>
    <col min="12552" max="12552" width="10.796875" style="3" customWidth="1"/>
    <col min="12553" max="12553" width="12" style="3" customWidth="1"/>
    <col min="12554" max="12554" width="8.19921875" style="3" customWidth="1"/>
    <col min="12555" max="12555" width="12.19921875" style="3" customWidth="1"/>
    <col min="12556" max="12556" width="12.46484375" style="3" customWidth="1"/>
    <col min="12557" max="12557" width="8.19921875" style="3" customWidth="1"/>
    <col min="12558" max="12558" width="11.46484375" style="3" customWidth="1"/>
    <col min="12559" max="12559" width="13" style="3" customWidth="1"/>
    <col min="12560" max="12560" width="8" style="3" customWidth="1"/>
    <col min="12561" max="12561" width="12.19921875" style="3" customWidth="1"/>
    <col min="12562" max="12562" width="12.46484375" style="3" customWidth="1"/>
    <col min="12563" max="12563" width="9.19921875" style="3" customWidth="1"/>
    <col min="12564" max="12564" width="11.46484375" style="3" customWidth="1"/>
    <col min="12565" max="12565" width="12.53125" style="3" customWidth="1"/>
    <col min="12566" max="12566" width="10.19921875" style="3" customWidth="1"/>
    <col min="12567" max="12568" width="12" style="3" bestFit="1" customWidth="1"/>
    <col min="12569" max="12570" width="11" style="3" customWidth="1"/>
    <col min="12571" max="12571" width="12.46484375" style="3" customWidth="1"/>
    <col min="12572" max="12572" width="9.53125" style="3" customWidth="1"/>
    <col min="12573" max="12573" width="11.19921875" style="3" customWidth="1"/>
    <col min="12574" max="12577" width="12" style="3" customWidth="1"/>
    <col min="12578" max="12578" width="9.19921875" style="3"/>
    <col min="12579" max="12579" width="20.19921875" style="3" customWidth="1"/>
    <col min="12580" max="12580" width="33.796875" style="3" customWidth="1"/>
    <col min="12581" max="12799" width="9.19921875" style="3"/>
    <col min="12800" max="12800" width="3.796875" style="3" customWidth="1"/>
    <col min="12801" max="12801" width="44.796875" style="3" customWidth="1"/>
    <col min="12802" max="12803" width="0" style="3" hidden="1" customWidth="1"/>
    <col min="12804" max="12804" width="9.796875" style="3" customWidth="1"/>
    <col min="12805" max="12805" width="10.796875" style="3" customWidth="1"/>
    <col min="12806" max="12806" width="12.796875" style="3" customWidth="1"/>
    <col min="12807" max="12807" width="10.19921875" style="3" customWidth="1"/>
    <col min="12808" max="12808" width="10.796875" style="3" customWidth="1"/>
    <col min="12809" max="12809" width="12" style="3" customWidth="1"/>
    <col min="12810" max="12810" width="8.19921875" style="3" customWidth="1"/>
    <col min="12811" max="12811" width="12.19921875" style="3" customWidth="1"/>
    <col min="12812" max="12812" width="12.46484375" style="3" customWidth="1"/>
    <col min="12813" max="12813" width="8.19921875" style="3" customWidth="1"/>
    <col min="12814" max="12814" width="11.46484375" style="3" customWidth="1"/>
    <col min="12815" max="12815" width="13" style="3" customWidth="1"/>
    <col min="12816" max="12816" width="8" style="3" customWidth="1"/>
    <col min="12817" max="12817" width="12.19921875" style="3" customWidth="1"/>
    <col min="12818" max="12818" width="12.46484375" style="3" customWidth="1"/>
    <col min="12819" max="12819" width="9.19921875" style="3" customWidth="1"/>
    <col min="12820" max="12820" width="11.46484375" style="3" customWidth="1"/>
    <col min="12821" max="12821" width="12.53125" style="3" customWidth="1"/>
    <col min="12822" max="12822" width="10.19921875" style="3" customWidth="1"/>
    <col min="12823" max="12824" width="12" style="3" bestFit="1" customWidth="1"/>
    <col min="12825" max="12826" width="11" style="3" customWidth="1"/>
    <col min="12827" max="12827" width="12.46484375" style="3" customWidth="1"/>
    <col min="12828" max="12828" width="9.53125" style="3" customWidth="1"/>
    <col min="12829" max="12829" width="11.19921875" style="3" customWidth="1"/>
    <col min="12830" max="12833" width="12" style="3" customWidth="1"/>
    <col min="12834" max="12834" width="9.19921875" style="3"/>
    <col min="12835" max="12835" width="20.19921875" style="3" customWidth="1"/>
    <col min="12836" max="12836" width="33.796875" style="3" customWidth="1"/>
    <col min="12837" max="13055" width="9.19921875" style="3"/>
    <col min="13056" max="13056" width="3.796875" style="3" customWidth="1"/>
    <col min="13057" max="13057" width="44.796875" style="3" customWidth="1"/>
    <col min="13058" max="13059" width="0" style="3" hidden="1" customWidth="1"/>
    <col min="13060" max="13060" width="9.796875" style="3" customWidth="1"/>
    <col min="13061" max="13061" width="10.796875" style="3" customWidth="1"/>
    <col min="13062" max="13062" width="12.796875" style="3" customWidth="1"/>
    <col min="13063" max="13063" width="10.19921875" style="3" customWidth="1"/>
    <col min="13064" max="13064" width="10.796875" style="3" customWidth="1"/>
    <col min="13065" max="13065" width="12" style="3" customWidth="1"/>
    <col min="13066" max="13066" width="8.19921875" style="3" customWidth="1"/>
    <col min="13067" max="13067" width="12.19921875" style="3" customWidth="1"/>
    <col min="13068" max="13068" width="12.46484375" style="3" customWidth="1"/>
    <col min="13069" max="13069" width="8.19921875" style="3" customWidth="1"/>
    <col min="13070" max="13070" width="11.46484375" style="3" customWidth="1"/>
    <col min="13071" max="13071" width="13" style="3" customWidth="1"/>
    <col min="13072" max="13072" width="8" style="3" customWidth="1"/>
    <col min="13073" max="13073" width="12.19921875" style="3" customWidth="1"/>
    <col min="13074" max="13074" width="12.46484375" style="3" customWidth="1"/>
    <col min="13075" max="13075" width="9.19921875" style="3" customWidth="1"/>
    <col min="13076" max="13076" width="11.46484375" style="3" customWidth="1"/>
    <col min="13077" max="13077" width="12.53125" style="3" customWidth="1"/>
    <col min="13078" max="13078" width="10.19921875" style="3" customWidth="1"/>
    <col min="13079" max="13080" width="12" style="3" bestFit="1" customWidth="1"/>
    <col min="13081" max="13082" width="11" style="3" customWidth="1"/>
    <col min="13083" max="13083" width="12.46484375" style="3" customWidth="1"/>
    <col min="13084" max="13084" width="9.53125" style="3" customWidth="1"/>
    <col min="13085" max="13085" width="11.19921875" style="3" customWidth="1"/>
    <col min="13086" max="13089" width="12" style="3" customWidth="1"/>
    <col min="13090" max="13090" width="9.19921875" style="3"/>
    <col min="13091" max="13091" width="20.19921875" style="3" customWidth="1"/>
    <col min="13092" max="13092" width="33.796875" style="3" customWidth="1"/>
    <col min="13093" max="13311" width="9.19921875" style="3"/>
    <col min="13312" max="13312" width="3.796875" style="3" customWidth="1"/>
    <col min="13313" max="13313" width="44.796875" style="3" customWidth="1"/>
    <col min="13314" max="13315" width="0" style="3" hidden="1" customWidth="1"/>
    <col min="13316" max="13316" width="9.796875" style="3" customWidth="1"/>
    <col min="13317" max="13317" width="10.796875" style="3" customWidth="1"/>
    <col min="13318" max="13318" width="12.796875" style="3" customWidth="1"/>
    <col min="13319" max="13319" width="10.19921875" style="3" customWidth="1"/>
    <col min="13320" max="13320" width="10.796875" style="3" customWidth="1"/>
    <col min="13321" max="13321" width="12" style="3" customWidth="1"/>
    <col min="13322" max="13322" width="8.19921875" style="3" customWidth="1"/>
    <col min="13323" max="13323" width="12.19921875" style="3" customWidth="1"/>
    <col min="13324" max="13324" width="12.46484375" style="3" customWidth="1"/>
    <col min="13325" max="13325" width="8.19921875" style="3" customWidth="1"/>
    <col min="13326" max="13326" width="11.46484375" style="3" customWidth="1"/>
    <col min="13327" max="13327" width="13" style="3" customWidth="1"/>
    <col min="13328" max="13328" width="8" style="3" customWidth="1"/>
    <col min="13329" max="13329" width="12.19921875" style="3" customWidth="1"/>
    <col min="13330" max="13330" width="12.46484375" style="3" customWidth="1"/>
    <col min="13331" max="13331" width="9.19921875" style="3" customWidth="1"/>
    <col min="13332" max="13332" width="11.46484375" style="3" customWidth="1"/>
    <col min="13333" max="13333" width="12.53125" style="3" customWidth="1"/>
    <col min="13334" max="13334" width="10.19921875" style="3" customWidth="1"/>
    <col min="13335" max="13336" width="12" style="3" bestFit="1" customWidth="1"/>
    <col min="13337" max="13338" width="11" style="3" customWidth="1"/>
    <col min="13339" max="13339" width="12.46484375" style="3" customWidth="1"/>
    <col min="13340" max="13340" width="9.53125" style="3" customWidth="1"/>
    <col min="13341" max="13341" width="11.19921875" style="3" customWidth="1"/>
    <col min="13342" max="13345" width="12" style="3" customWidth="1"/>
    <col min="13346" max="13346" width="9.19921875" style="3"/>
    <col min="13347" max="13347" width="20.19921875" style="3" customWidth="1"/>
    <col min="13348" max="13348" width="33.796875" style="3" customWidth="1"/>
    <col min="13349" max="13567" width="9.19921875" style="3"/>
    <col min="13568" max="13568" width="3.796875" style="3" customWidth="1"/>
    <col min="13569" max="13569" width="44.796875" style="3" customWidth="1"/>
    <col min="13570" max="13571" width="0" style="3" hidden="1" customWidth="1"/>
    <col min="13572" max="13572" width="9.796875" style="3" customWidth="1"/>
    <col min="13573" max="13573" width="10.796875" style="3" customWidth="1"/>
    <col min="13574" max="13574" width="12.796875" style="3" customWidth="1"/>
    <col min="13575" max="13575" width="10.19921875" style="3" customWidth="1"/>
    <col min="13576" max="13576" width="10.796875" style="3" customWidth="1"/>
    <col min="13577" max="13577" width="12" style="3" customWidth="1"/>
    <col min="13578" max="13578" width="8.19921875" style="3" customWidth="1"/>
    <col min="13579" max="13579" width="12.19921875" style="3" customWidth="1"/>
    <col min="13580" max="13580" width="12.46484375" style="3" customWidth="1"/>
    <col min="13581" max="13581" width="8.19921875" style="3" customWidth="1"/>
    <col min="13582" max="13582" width="11.46484375" style="3" customWidth="1"/>
    <col min="13583" max="13583" width="13" style="3" customWidth="1"/>
    <col min="13584" max="13584" width="8" style="3" customWidth="1"/>
    <col min="13585" max="13585" width="12.19921875" style="3" customWidth="1"/>
    <col min="13586" max="13586" width="12.46484375" style="3" customWidth="1"/>
    <col min="13587" max="13587" width="9.19921875" style="3" customWidth="1"/>
    <col min="13588" max="13588" width="11.46484375" style="3" customWidth="1"/>
    <col min="13589" max="13589" width="12.53125" style="3" customWidth="1"/>
    <col min="13590" max="13590" width="10.19921875" style="3" customWidth="1"/>
    <col min="13591" max="13592" width="12" style="3" bestFit="1" customWidth="1"/>
    <col min="13593" max="13594" width="11" style="3" customWidth="1"/>
    <col min="13595" max="13595" width="12.46484375" style="3" customWidth="1"/>
    <col min="13596" max="13596" width="9.53125" style="3" customWidth="1"/>
    <col min="13597" max="13597" width="11.19921875" style="3" customWidth="1"/>
    <col min="13598" max="13601" width="12" style="3" customWidth="1"/>
    <col min="13602" max="13602" width="9.19921875" style="3"/>
    <col min="13603" max="13603" width="20.19921875" style="3" customWidth="1"/>
    <col min="13604" max="13604" width="33.796875" style="3" customWidth="1"/>
    <col min="13605" max="13823" width="9.19921875" style="3"/>
    <col min="13824" max="13824" width="3.796875" style="3" customWidth="1"/>
    <col min="13825" max="13825" width="44.796875" style="3" customWidth="1"/>
    <col min="13826" max="13827" width="0" style="3" hidden="1" customWidth="1"/>
    <col min="13828" max="13828" width="9.796875" style="3" customWidth="1"/>
    <col min="13829" max="13829" width="10.796875" style="3" customWidth="1"/>
    <col min="13830" max="13830" width="12.796875" style="3" customWidth="1"/>
    <col min="13831" max="13831" width="10.19921875" style="3" customWidth="1"/>
    <col min="13832" max="13832" width="10.796875" style="3" customWidth="1"/>
    <col min="13833" max="13833" width="12" style="3" customWidth="1"/>
    <col min="13834" max="13834" width="8.19921875" style="3" customWidth="1"/>
    <col min="13835" max="13835" width="12.19921875" style="3" customWidth="1"/>
    <col min="13836" max="13836" width="12.46484375" style="3" customWidth="1"/>
    <col min="13837" max="13837" width="8.19921875" style="3" customWidth="1"/>
    <col min="13838" max="13838" width="11.46484375" style="3" customWidth="1"/>
    <col min="13839" max="13839" width="13" style="3" customWidth="1"/>
    <col min="13840" max="13840" width="8" style="3" customWidth="1"/>
    <col min="13841" max="13841" width="12.19921875" style="3" customWidth="1"/>
    <col min="13842" max="13842" width="12.46484375" style="3" customWidth="1"/>
    <col min="13843" max="13843" width="9.19921875" style="3" customWidth="1"/>
    <col min="13844" max="13844" width="11.46484375" style="3" customWidth="1"/>
    <col min="13845" max="13845" width="12.53125" style="3" customWidth="1"/>
    <col min="13846" max="13846" width="10.19921875" style="3" customWidth="1"/>
    <col min="13847" max="13848" width="12" style="3" bestFit="1" customWidth="1"/>
    <col min="13849" max="13850" width="11" style="3" customWidth="1"/>
    <col min="13851" max="13851" width="12.46484375" style="3" customWidth="1"/>
    <col min="13852" max="13852" width="9.53125" style="3" customWidth="1"/>
    <col min="13853" max="13853" width="11.19921875" style="3" customWidth="1"/>
    <col min="13854" max="13857" width="12" style="3" customWidth="1"/>
    <col min="13858" max="13858" width="9.19921875" style="3"/>
    <col min="13859" max="13859" width="20.19921875" style="3" customWidth="1"/>
    <col min="13860" max="13860" width="33.796875" style="3" customWidth="1"/>
    <col min="13861" max="14079" width="9.19921875" style="3"/>
    <col min="14080" max="14080" width="3.796875" style="3" customWidth="1"/>
    <col min="14081" max="14081" width="44.796875" style="3" customWidth="1"/>
    <col min="14082" max="14083" width="0" style="3" hidden="1" customWidth="1"/>
    <col min="14084" max="14084" width="9.796875" style="3" customWidth="1"/>
    <col min="14085" max="14085" width="10.796875" style="3" customWidth="1"/>
    <col min="14086" max="14086" width="12.796875" style="3" customWidth="1"/>
    <col min="14087" max="14087" width="10.19921875" style="3" customWidth="1"/>
    <col min="14088" max="14088" width="10.796875" style="3" customWidth="1"/>
    <col min="14089" max="14089" width="12" style="3" customWidth="1"/>
    <col min="14090" max="14090" width="8.19921875" style="3" customWidth="1"/>
    <col min="14091" max="14091" width="12.19921875" style="3" customWidth="1"/>
    <col min="14092" max="14092" width="12.46484375" style="3" customWidth="1"/>
    <col min="14093" max="14093" width="8.19921875" style="3" customWidth="1"/>
    <col min="14094" max="14094" width="11.46484375" style="3" customWidth="1"/>
    <col min="14095" max="14095" width="13" style="3" customWidth="1"/>
    <col min="14096" max="14096" width="8" style="3" customWidth="1"/>
    <col min="14097" max="14097" width="12.19921875" style="3" customWidth="1"/>
    <col min="14098" max="14098" width="12.46484375" style="3" customWidth="1"/>
    <col min="14099" max="14099" width="9.19921875" style="3" customWidth="1"/>
    <col min="14100" max="14100" width="11.46484375" style="3" customWidth="1"/>
    <col min="14101" max="14101" width="12.53125" style="3" customWidth="1"/>
    <col min="14102" max="14102" width="10.19921875" style="3" customWidth="1"/>
    <col min="14103" max="14104" width="12" style="3" bestFit="1" customWidth="1"/>
    <col min="14105" max="14106" width="11" style="3" customWidth="1"/>
    <col min="14107" max="14107" width="12.46484375" style="3" customWidth="1"/>
    <col min="14108" max="14108" width="9.53125" style="3" customWidth="1"/>
    <col min="14109" max="14109" width="11.19921875" style="3" customWidth="1"/>
    <col min="14110" max="14113" width="12" style="3" customWidth="1"/>
    <col min="14114" max="14114" width="9.19921875" style="3"/>
    <col min="14115" max="14115" width="20.19921875" style="3" customWidth="1"/>
    <col min="14116" max="14116" width="33.796875" style="3" customWidth="1"/>
    <col min="14117" max="14335" width="9.19921875" style="3"/>
    <col min="14336" max="14336" width="3.796875" style="3" customWidth="1"/>
    <col min="14337" max="14337" width="44.796875" style="3" customWidth="1"/>
    <col min="14338" max="14339" width="0" style="3" hidden="1" customWidth="1"/>
    <col min="14340" max="14340" width="9.796875" style="3" customWidth="1"/>
    <col min="14341" max="14341" width="10.796875" style="3" customWidth="1"/>
    <col min="14342" max="14342" width="12.796875" style="3" customWidth="1"/>
    <col min="14343" max="14343" width="10.19921875" style="3" customWidth="1"/>
    <col min="14344" max="14344" width="10.796875" style="3" customWidth="1"/>
    <col min="14345" max="14345" width="12" style="3" customWidth="1"/>
    <col min="14346" max="14346" width="8.19921875" style="3" customWidth="1"/>
    <col min="14347" max="14347" width="12.19921875" style="3" customWidth="1"/>
    <col min="14348" max="14348" width="12.46484375" style="3" customWidth="1"/>
    <col min="14349" max="14349" width="8.19921875" style="3" customWidth="1"/>
    <col min="14350" max="14350" width="11.46484375" style="3" customWidth="1"/>
    <col min="14351" max="14351" width="13" style="3" customWidth="1"/>
    <col min="14352" max="14352" width="8" style="3" customWidth="1"/>
    <col min="14353" max="14353" width="12.19921875" style="3" customWidth="1"/>
    <col min="14354" max="14354" width="12.46484375" style="3" customWidth="1"/>
    <col min="14355" max="14355" width="9.19921875" style="3" customWidth="1"/>
    <col min="14356" max="14356" width="11.46484375" style="3" customWidth="1"/>
    <col min="14357" max="14357" width="12.53125" style="3" customWidth="1"/>
    <col min="14358" max="14358" width="10.19921875" style="3" customWidth="1"/>
    <col min="14359" max="14360" width="12" style="3" bestFit="1" customWidth="1"/>
    <col min="14361" max="14362" width="11" style="3" customWidth="1"/>
    <col min="14363" max="14363" width="12.46484375" style="3" customWidth="1"/>
    <col min="14364" max="14364" width="9.53125" style="3" customWidth="1"/>
    <col min="14365" max="14365" width="11.19921875" style="3" customWidth="1"/>
    <col min="14366" max="14369" width="12" style="3" customWidth="1"/>
    <col min="14370" max="14370" width="9.19921875" style="3"/>
    <col min="14371" max="14371" width="20.19921875" style="3" customWidth="1"/>
    <col min="14372" max="14372" width="33.796875" style="3" customWidth="1"/>
    <col min="14373" max="14591" width="9.19921875" style="3"/>
    <col min="14592" max="14592" width="3.796875" style="3" customWidth="1"/>
    <col min="14593" max="14593" width="44.796875" style="3" customWidth="1"/>
    <col min="14594" max="14595" width="0" style="3" hidden="1" customWidth="1"/>
    <col min="14596" max="14596" width="9.796875" style="3" customWidth="1"/>
    <col min="14597" max="14597" width="10.796875" style="3" customWidth="1"/>
    <col min="14598" max="14598" width="12.796875" style="3" customWidth="1"/>
    <col min="14599" max="14599" width="10.19921875" style="3" customWidth="1"/>
    <col min="14600" max="14600" width="10.796875" style="3" customWidth="1"/>
    <col min="14601" max="14601" width="12" style="3" customWidth="1"/>
    <col min="14602" max="14602" width="8.19921875" style="3" customWidth="1"/>
    <col min="14603" max="14603" width="12.19921875" style="3" customWidth="1"/>
    <col min="14604" max="14604" width="12.46484375" style="3" customWidth="1"/>
    <col min="14605" max="14605" width="8.19921875" style="3" customWidth="1"/>
    <col min="14606" max="14606" width="11.46484375" style="3" customWidth="1"/>
    <col min="14607" max="14607" width="13" style="3" customWidth="1"/>
    <col min="14608" max="14608" width="8" style="3" customWidth="1"/>
    <col min="14609" max="14609" width="12.19921875" style="3" customWidth="1"/>
    <col min="14610" max="14610" width="12.46484375" style="3" customWidth="1"/>
    <col min="14611" max="14611" width="9.19921875" style="3" customWidth="1"/>
    <col min="14612" max="14612" width="11.46484375" style="3" customWidth="1"/>
    <col min="14613" max="14613" width="12.53125" style="3" customWidth="1"/>
    <col min="14614" max="14614" width="10.19921875" style="3" customWidth="1"/>
    <col min="14615" max="14616" width="12" style="3" bestFit="1" customWidth="1"/>
    <col min="14617" max="14618" width="11" style="3" customWidth="1"/>
    <col min="14619" max="14619" width="12.46484375" style="3" customWidth="1"/>
    <col min="14620" max="14620" width="9.53125" style="3" customWidth="1"/>
    <col min="14621" max="14621" width="11.19921875" style="3" customWidth="1"/>
    <col min="14622" max="14625" width="12" style="3" customWidth="1"/>
    <col min="14626" max="14626" width="9.19921875" style="3"/>
    <col min="14627" max="14627" width="20.19921875" style="3" customWidth="1"/>
    <col min="14628" max="14628" width="33.796875" style="3" customWidth="1"/>
    <col min="14629" max="14847" width="9.19921875" style="3"/>
    <col min="14848" max="14848" width="3.796875" style="3" customWidth="1"/>
    <col min="14849" max="14849" width="44.796875" style="3" customWidth="1"/>
    <col min="14850" max="14851" width="0" style="3" hidden="1" customWidth="1"/>
    <col min="14852" max="14852" width="9.796875" style="3" customWidth="1"/>
    <col min="14853" max="14853" width="10.796875" style="3" customWidth="1"/>
    <col min="14854" max="14854" width="12.796875" style="3" customWidth="1"/>
    <col min="14855" max="14855" width="10.19921875" style="3" customWidth="1"/>
    <col min="14856" max="14856" width="10.796875" style="3" customWidth="1"/>
    <col min="14857" max="14857" width="12" style="3" customWidth="1"/>
    <col min="14858" max="14858" width="8.19921875" style="3" customWidth="1"/>
    <col min="14859" max="14859" width="12.19921875" style="3" customWidth="1"/>
    <col min="14860" max="14860" width="12.46484375" style="3" customWidth="1"/>
    <col min="14861" max="14861" width="8.19921875" style="3" customWidth="1"/>
    <col min="14862" max="14862" width="11.46484375" style="3" customWidth="1"/>
    <col min="14863" max="14863" width="13" style="3" customWidth="1"/>
    <col min="14864" max="14864" width="8" style="3" customWidth="1"/>
    <col min="14865" max="14865" width="12.19921875" style="3" customWidth="1"/>
    <col min="14866" max="14866" width="12.46484375" style="3" customWidth="1"/>
    <col min="14867" max="14867" width="9.19921875" style="3" customWidth="1"/>
    <col min="14868" max="14868" width="11.46484375" style="3" customWidth="1"/>
    <col min="14869" max="14869" width="12.53125" style="3" customWidth="1"/>
    <col min="14870" max="14870" width="10.19921875" style="3" customWidth="1"/>
    <col min="14871" max="14872" width="12" style="3" bestFit="1" customWidth="1"/>
    <col min="14873" max="14874" width="11" style="3" customWidth="1"/>
    <col min="14875" max="14875" width="12.46484375" style="3" customWidth="1"/>
    <col min="14876" max="14876" width="9.53125" style="3" customWidth="1"/>
    <col min="14877" max="14877" width="11.19921875" style="3" customWidth="1"/>
    <col min="14878" max="14881" width="12" style="3" customWidth="1"/>
    <col min="14882" max="14882" width="9.19921875" style="3"/>
    <col min="14883" max="14883" width="20.19921875" style="3" customWidth="1"/>
    <col min="14884" max="14884" width="33.796875" style="3" customWidth="1"/>
    <col min="14885" max="15103" width="9.19921875" style="3"/>
    <col min="15104" max="15104" width="3.796875" style="3" customWidth="1"/>
    <col min="15105" max="15105" width="44.796875" style="3" customWidth="1"/>
    <col min="15106" max="15107" width="0" style="3" hidden="1" customWidth="1"/>
    <col min="15108" max="15108" width="9.796875" style="3" customWidth="1"/>
    <col min="15109" max="15109" width="10.796875" style="3" customWidth="1"/>
    <col min="15110" max="15110" width="12.796875" style="3" customWidth="1"/>
    <col min="15111" max="15111" width="10.19921875" style="3" customWidth="1"/>
    <col min="15112" max="15112" width="10.796875" style="3" customWidth="1"/>
    <col min="15113" max="15113" width="12" style="3" customWidth="1"/>
    <col min="15114" max="15114" width="8.19921875" style="3" customWidth="1"/>
    <col min="15115" max="15115" width="12.19921875" style="3" customWidth="1"/>
    <col min="15116" max="15116" width="12.46484375" style="3" customWidth="1"/>
    <col min="15117" max="15117" width="8.19921875" style="3" customWidth="1"/>
    <col min="15118" max="15118" width="11.46484375" style="3" customWidth="1"/>
    <col min="15119" max="15119" width="13" style="3" customWidth="1"/>
    <col min="15120" max="15120" width="8" style="3" customWidth="1"/>
    <col min="15121" max="15121" width="12.19921875" style="3" customWidth="1"/>
    <col min="15122" max="15122" width="12.46484375" style="3" customWidth="1"/>
    <col min="15123" max="15123" width="9.19921875" style="3" customWidth="1"/>
    <col min="15124" max="15124" width="11.46484375" style="3" customWidth="1"/>
    <col min="15125" max="15125" width="12.53125" style="3" customWidth="1"/>
    <col min="15126" max="15126" width="10.19921875" style="3" customWidth="1"/>
    <col min="15127" max="15128" width="12" style="3" bestFit="1" customWidth="1"/>
    <col min="15129" max="15130" width="11" style="3" customWidth="1"/>
    <col min="15131" max="15131" width="12.46484375" style="3" customWidth="1"/>
    <col min="15132" max="15132" width="9.53125" style="3" customWidth="1"/>
    <col min="15133" max="15133" width="11.19921875" style="3" customWidth="1"/>
    <col min="15134" max="15137" width="12" style="3" customWidth="1"/>
    <col min="15138" max="15138" width="9.19921875" style="3"/>
    <col min="15139" max="15139" width="20.19921875" style="3" customWidth="1"/>
    <col min="15140" max="15140" width="33.796875" style="3" customWidth="1"/>
    <col min="15141" max="15359" width="9.19921875" style="3"/>
    <col min="15360" max="15360" width="3.796875" style="3" customWidth="1"/>
    <col min="15361" max="15361" width="44.796875" style="3" customWidth="1"/>
    <col min="15362" max="15363" width="0" style="3" hidden="1" customWidth="1"/>
    <col min="15364" max="15364" width="9.796875" style="3" customWidth="1"/>
    <col min="15365" max="15365" width="10.796875" style="3" customWidth="1"/>
    <col min="15366" max="15366" width="12.796875" style="3" customWidth="1"/>
    <col min="15367" max="15367" width="10.19921875" style="3" customWidth="1"/>
    <col min="15368" max="15368" width="10.796875" style="3" customWidth="1"/>
    <col min="15369" max="15369" width="12" style="3" customWidth="1"/>
    <col min="15370" max="15370" width="8.19921875" style="3" customWidth="1"/>
    <col min="15371" max="15371" width="12.19921875" style="3" customWidth="1"/>
    <col min="15372" max="15372" width="12.46484375" style="3" customWidth="1"/>
    <col min="15373" max="15373" width="8.19921875" style="3" customWidth="1"/>
    <col min="15374" max="15374" width="11.46484375" style="3" customWidth="1"/>
    <col min="15375" max="15375" width="13" style="3" customWidth="1"/>
    <col min="15376" max="15376" width="8" style="3" customWidth="1"/>
    <col min="15377" max="15377" width="12.19921875" style="3" customWidth="1"/>
    <col min="15378" max="15378" width="12.46484375" style="3" customWidth="1"/>
    <col min="15379" max="15379" width="9.19921875" style="3" customWidth="1"/>
    <col min="15380" max="15380" width="11.46484375" style="3" customWidth="1"/>
    <col min="15381" max="15381" width="12.53125" style="3" customWidth="1"/>
    <col min="15382" max="15382" width="10.19921875" style="3" customWidth="1"/>
    <col min="15383" max="15384" width="12" style="3" bestFit="1" customWidth="1"/>
    <col min="15385" max="15386" width="11" style="3" customWidth="1"/>
    <col min="15387" max="15387" width="12.46484375" style="3" customWidth="1"/>
    <col min="15388" max="15388" width="9.53125" style="3" customWidth="1"/>
    <col min="15389" max="15389" width="11.19921875" style="3" customWidth="1"/>
    <col min="15390" max="15393" width="12" style="3" customWidth="1"/>
    <col min="15394" max="15394" width="9.19921875" style="3"/>
    <col min="15395" max="15395" width="20.19921875" style="3" customWidth="1"/>
    <col min="15396" max="15396" width="33.796875" style="3" customWidth="1"/>
    <col min="15397" max="15615" width="9.19921875" style="3"/>
    <col min="15616" max="15616" width="3.796875" style="3" customWidth="1"/>
    <col min="15617" max="15617" width="44.796875" style="3" customWidth="1"/>
    <col min="15618" max="15619" width="0" style="3" hidden="1" customWidth="1"/>
    <col min="15620" max="15620" width="9.796875" style="3" customWidth="1"/>
    <col min="15621" max="15621" width="10.796875" style="3" customWidth="1"/>
    <col min="15622" max="15622" width="12.796875" style="3" customWidth="1"/>
    <col min="15623" max="15623" width="10.19921875" style="3" customWidth="1"/>
    <col min="15624" max="15624" width="10.796875" style="3" customWidth="1"/>
    <col min="15625" max="15625" width="12" style="3" customWidth="1"/>
    <col min="15626" max="15626" width="8.19921875" style="3" customWidth="1"/>
    <col min="15627" max="15627" width="12.19921875" style="3" customWidth="1"/>
    <col min="15628" max="15628" width="12.46484375" style="3" customWidth="1"/>
    <col min="15629" max="15629" width="8.19921875" style="3" customWidth="1"/>
    <col min="15630" max="15630" width="11.46484375" style="3" customWidth="1"/>
    <col min="15631" max="15631" width="13" style="3" customWidth="1"/>
    <col min="15632" max="15632" width="8" style="3" customWidth="1"/>
    <col min="15633" max="15633" width="12.19921875" style="3" customWidth="1"/>
    <col min="15634" max="15634" width="12.46484375" style="3" customWidth="1"/>
    <col min="15635" max="15635" width="9.19921875" style="3" customWidth="1"/>
    <col min="15636" max="15636" width="11.46484375" style="3" customWidth="1"/>
    <col min="15637" max="15637" width="12.53125" style="3" customWidth="1"/>
    <col min="15638" max="15638" width="10.19921875" style="3" customWidth="1"/>
    <col min="15639" max="15640" width="12" style="3" bestFit="1" customWidth="1"/>
    <col min="15641" max="15642" width="11" style="3" customWidth="1"/>
    <col min="15643" max="15643" width="12.46484375" style="3" customWidth="1"/>
    <col min="15644" max="15644" width="9.53125" style="3" customWidth="1"/>
    <col min="15645" max="15645" width="11.19921875" style="3" customWidth="1"/>
    <col min="15646" max="15649" width="12" style="3" customWidth="1"/>
    <col min="15650" max="15650" width="9.19921875" style="3"/>
    <col min="15651" max="15651" width="20.19921875" style="3" customWidth="1"/>
    <col min="15652" max="15652" width="33.796875" style="3" customWidth="1"/>
    <col min="15653" max="15871" width="9.19921875" style="3"/>
    <col min="15872" max="15872" width="3.796875" style="3" customWidth="1"/>
    <col min="15873" max="15873" width="44.796875" style="3" customWidth="1"/>
    <col min="15874" max="15875" width="0" style="3" hidden="1" customWidth="1"/>
    <col min="15876" max="15876" width="9.796875" style="3" customWidth="1"/>
    <col min="15877" max="15877" width="10.796875" style="3" customWidth="1"/>
    <col min="15878" max="15878" width="12.796875" style="3" customWidth="1"/>
    <col min="15879" max="15879" width="10.19921875" style="3" customWidth="1"/>
    <col min="15880" max="15880" width="10.796875" style="3" customWidth="1"/>
    <col min="15881" max="15881" width="12" style="3" customWidth="1"/>
    <col min="15882" max="15882" width="8.19921875" style="3" customWidth="1"/>
    <col min="15883" max="15883" width="12.19921875" style="3" customWidth="1"/>
    <col min="15884" max="15884" width="12.46484375" style="3" customWidth="1"/>
    <col min="15885" max="15885" width="8.19921875" style="3" customWidth="1"/>
    <col min="15886" max="15886" width="11.46484375" style="3" customWidth="1"/>
    <col min="15887" max="15887" width="13" style="3" customWidth="1"/>
    <col min="15888" max="15888" width="8" style="3" customWidth="1"/>
    <col min="15889" max="15889" width="12.19921875" style="3" customWidth="1"/>
    <col min="15890" max="15890" width="12.46484375" style="3" customWidth="1"/>
    <col min="15891" max="15891" width="9.19921875" style="3" customWidth="1"/>
    <col min="15892" max="15892" width="11.46484375" style="3" customWidth="1"/>
    <col min="15893" max="15893" width="12.53125" style="3" customWidth="1"/>
    <col min="15894" max="15894" width="10.19921875" style="3" customWidth="1"/>
    <col min="15895" max="15896" width="12" style="3" bestFit="1" customWidth="1"/>
    <col min="15897" max="15898" width="11" style="3" customWidth="1"/>
    <col min="15899" max="15899" width="12.46484375" style="3" customWidth="1"/>
    <col min="15900" max="15900" width="9.53125" style="3" customWidth="1"/>
    <col min="15901" max="15901" width="11.19921875" style="3" customWidth="1"/>
    <col min="15902" max="15905" width="12" style="3" customWidth="1"/>
    <col min="15906" max="15906" width="9.19921875" style="3"/>
    <col min="15907" max="15907" width="20.19921875" style="3" customWidth="1"/>
    <col min="15908" max="15908" width="33.796875" style="3" customWidth="1"/>
    <col min="15909" max="16127" width="9.19921875" style="3"/>
    <col min="16128" max="16128" width="3.796875" style="3" customWidth="1"/>
    <col min="16129" max="16129" width="44.796875" style="3" customWidth="1"/>
    <col min="16130" max="16131" width="0" style="3" hidden="1" customWidth="1"/>
    <col min="16132" max="16132" width="9.796875" style="3" customWidth="1"/>
    <col min="16133" max="16133" width="10.796875" style="3" customWidth="1"/>
    <col min="16134" max="16134" width="12.796875" style="3" customWidth="1"/>
    <col min="16135" max="16135" width="10.19921875" style="3" customWidth="1"/>
    <col min="16136" max="16136" width="10.796875" style="3" customWidth="1"/>
    <col min="16137" max="16137" width="12" style="3" customWidth="1"/>
    <col min="16138" max="16138" width="8.19921875" style="3" customWidth="1"/>
    <col min="16139" max="16139" width="12.19921875" style="3" customWidth="1"/>
    <col min="16140" max="16140" width="12.46484375" style="3" customWidth="1"/>
    <col min="16141" max="16141" width="8.19921875" style="3" customWidth="1"/>
    <col min="16142" max="16142" width="11.46484375" style="3" customWidth="1"/>
    <col min="16143" max="16143" width="13" style="3" customWidth="1"/>
    <col min="16144" max="16144" width="8" style="3" customWidth="1"/>
    <col min="16145" max="16145" width="12.19921875" style="3" customWidth="1"/>
    <col min="16146" max="16146" width="12.46484375" style="3" customWidth="1"/>
    <col min="16147" max="16147" width="9.19921875" style="3" customWidth="1"/>
    <col min="16148" max="16148" width="11.46484375" style="3" customWidth="1"/>
    <col min="16149" max="16149" width="12.53125" style="3" customWidth="1"/>
    <col min="16150" max="16150" width="10.19921875" style="3" customWidth="1"/>
    <col min="16151" max="16152" width="12" style="3" bestFit="1" customWidth="1"/>
    <col min="16153" max="16154" width="11" style="3" customWidth="1"/>
    <col min="16155" max="16155" width="12.46484375" style="3" customWidth="1"/>
    <col min="16156" max="16156" width="9.53125" style="3" customWidth="1"/>
    <col min="16157" max="16157" width="11.19921875" style="3" customWidth="1"/>
    <col min="16158" max="16161" width="12" style="3" customWidth="1"/>
    <col min="16162" max="16162" width="9.19921875" style="3"/>
    <col min="16163" max="16163" width="20.19921875" style="3" customWidth="1"/>
    <col min="16164" max="16164" width="33.796875" style="3" customWidth="1"/>
    <col min="16165" max="16384" width="9.19921875" style="3"/>
  </cols>
  <sheetData>
    <row r="1" spans="1:36">
      <c r="A1" s="1507" t="s">
        <v>1793</v>
      </c>
      <c r="B1" s="1507"/>
    </row>
    <row r="2" spans="1:36">
      <c r="A2" s="1676" t="str">
        <f>+'BS1'!A2</f>
        <v>NIDP DEVELOPERS PRIVATE LIMITED</v>
      </c>
      <c r="B2" s="1676"/>
      <c r="C2" s="1676"/>
      <c r="D2" s="1676"/>
      <c r="E2" s="1676"/>
      <c r="F2" s="1676"/>
      <c r="G2" s="1676"/>
      <c r="H2" s="1676"/>
      <c r="I2" s="1676"/>
      <c r="J2" s="1676"/>
      <c r="K2" s="1676"/>
      <c r="L2" s="1676"/>
      <c r="M2" s="1676"/>
      <c r="N2" s="1676"/>
      <c r="O2" s="1676"/>
      <c r="P2" s="1676"/>
      <c r="Q2" s="1676"/>
      <c r="R2" s="1676"/>
      <c r="S2" s="1676"/>
      <c r="T2" s="1676"/>
      <c r="U2" s="1676"/>
      <c r="V2" s="1676"/>
      <c r="W2" s="1676"/>
      <c r="X2" s="1676"/>
      <c r="Y2" s="1676"/>
      <c r="Z2" s="1676"/>
      <c r="AA2" s="1676"/>
      <c r="AB2" s="1676"/>
      <c r="AC2" s="1676"/>
      <c r="AD2" s="1676"/>
      <c r="AE2" s="1676"/>
      <c r="AF2" s="1676"/>
      <c r="AG2" s="1676"/>
      <c r="AH2" s="1676"/>
      <c r="AI2" s="1676"/>
    </row>
    <row r="3" spans="1:36">
      <c r="A3" s="173" t="s">
        <v>532</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38"/>
      <c r="AH3" s="1582"/>
      <c r="AI3" s="1582"/>
    </row>
    <row r="6" spans="1:36" ht="15" customHeight="1">
      <c r="A6" s="1488" t="s">
        <v>1376</v>
      </c>
      <c r="B6" s="1677" t="s">
        <v>144</v>
      </c>
      <c r="C6" s="1660" t="s">
        <v>1385</v>
      </c>
      <c r="D6" s="1660"/>
      <c r="E6" s="1660"/>
      <c r="F6" s="1660" t="s">
        <v>1385</v>
      </c>
      <c r="G6" s="1660"/>
      <c r="H6" s="1660"/>
      <c r="I6" s="1660" t="s">
        <v>1385</v>
      </c>
      <c r="J6" s="1660"/>
      <c r="K6" s="1660"/>
      <c r="L6" s="1660" t="s">
        <v>1385</v>
      </c>
      <c r="M6" s="1660"/>
      <c r="N6" s="1660"/>
      <c r="O6" s="1660" t="s">
        <v>1385</v>
      </c>
      <c r="P6" s="1660"/>
      <c r="Q6" s="1660"/>
      <c r="R6" s="1660" t="s">
        <v>1385</v>
      </c>
      <c r="S6" s="1660"/>
      <c r="T6" s="1660"/>
      <c r="U6" s="1660" t="s">
        <v>1385</v>
      </c>
      <c r="V6" s="1660"/>
      <c r="W6" s="1660"/>
      <c r="X6" s="1660" t="s">
        <v>1443</v>
      </c>
      <c r="Y6" s="1660"/>
      <c r="Z6" s="1660"/>
      <c r="AA6" s="1660" t="s">
        <v>344</v>
      </c>
      <c r="AB6" s="1660"/>
      <c r="AC6" s="1660"/>
      <c r="AD6" s="1660" t="s">
        <v>739</v>
      </c>
      <c r="AE6" s="1660"/>
      <c r="AF6" s="1660"/>
      <c r="AG6" s="1514" t="s">
        <v>190</v>
      </c>
      <c r="AH6" s="1672"/>
      <c r="AI6" s="1515"/>
      <c r="AJ6" s="1671"/>
    </row>
    <row r="7" spans="1:36" ht="15" customHeight="1">
      <c r="A7" s="1481"/>
      <c r="B7" s="1678"/>
      <c r="C7" s="1660" t="s">
        <v>1459</v>
      </c>
      <c r="D7" s="1660"/>
      <c r="E7" s="1660"/>
      <c r="F7" s="1660" t="s">
        <v>1459</v>
      </c>
      <c r="G7" s="1660"/>
      <c r="H7" s="1660"/>
      <c r="I7" s="1660" t="s">
        <v>1459</v>
      </c>
      <c r="J7" s="1660"/>
      <c r="K7" s="1660"/>
      <c r="L7" s="1660" t="s">
        <v>1459</v>
      </c>
      <c r="M7" s="1660"/>
      <c r="N7" s="1660"/>
      <c r="O7" s="1660" t="s">
        <v>1459</v>
      </c>
      <c r="P7" s="1660"/>
      <c r="Q7" s="1660"/>
      <c r="R7" s="1660" t="s">
        <v>1459</v>
      </c>
      <c r="S7" s="1660"/>
      <c r="T7" s="1660"/>
      <c r="U7" s="1660" t="s">
        <v>342</v>
      </c>
      <c r="V7" s="1660"/>
      <c r="W7" s="1660"/>
      <c r="X7" s="1660" t="s">
        <v>343</v>
      </c>
      <c r="Y7" s="1660"/>
      <c r="Z7" s="1660"/>
      <c r="AA7" s="1660" t="s">
        <v>1442</v>
      </c>
      <c r="AB7" s="1660"/>
      <c r="AC7" s="1660"/>
      <c r="AD7" s="1660" t="s">
        <v>2024</v>
      </c>
      <c r="AE7" s="1660"/>
      <c r="AF7" s="1660"/>
      <c r="AG7" s="1673"/>
      <c r="AH7" s="1674"/>
      <c r="AI7" s="1675"/>
      <c r="AJ7" s="1671"/>
    </row>
    <row r="8" spans="1:36" ht="57">
      <c r="A8" s="1481"/>
      <c r="B8" s="1679"/>
      <c r="C8" s="146" t="s">
        <v>178</v>
      </c>
      <c r="D8" s="146" t="s">
        <v>179</v>
      </c>
      <c r="E8" s="146" t="s">
        <v>326</v>
      </c>
      <c r="F8" s="146" t="s">
        <v>178</v>
      </c>
      <c r="G8" s="146" t="s">
        <v>179</v>
      </c>
      <c r="H8" s="146" t="s">
        <v>326</v>
      </c>
      <c r="I8" s="146" t="s">
        <v>178</v>
      </c>
      <c r="J8" s="146" t="s">
        <v>179</v>
      </c>
      <c r="K8" s="146" t="s">
        <v>326</v>
      </c>
      <c r="L8" s="146" t="s">
        <v>178</v>
      </c>
      <c r="M8" s="146" t="s">
        <v>179</v>
      </c>
      <c r="N8" s="146" t="s">
        <v>326</v>
      </c>
      <c r="O8" s="146" t="s">
        <v>178</v>
      </c>
      <c r="P8" s="146" t="s">
        <v>179</v>
      </c>
      <c r="Q8" s="146" t="s">
        <v>326</v>
      </c>
      <c r="R8" s="146" t="s">
        <v>178</v>
      </c>
      <c r="S8" s="146" t="s">
        <v>179</v>
      </c>
      <c r="T8" s="146" t="s">
        <v>326</v>
      </c>
      <c r="U8" s="146" t="s">
        <v>178</v>
      </c>
      <c r="V8" s="146" t="s">
        <v>179</v>
      </c>
      <c r="W8" s="146" t="s">
        <v>326</v>
      </c>
      <c r="X8" s="146" t="s">
        <v>178</v>
      </c>
      <c r="Y8" s="146" t="s">
        <v>179</v>
      </c>
      <c r="Z8" s="146" t="s">
        <v>326</v>
      </c>
      <c r="AA8" s="146" t="s">
        <v>178</v>
      </c>
      <c r="AB8" s="146" t="s">
        <v>179</v>
      </c>
      <c r="AC8" s="146" t="s">
        <v>326</v>
      </c>
      <c r="AD8" s="146" t="s">
        <v>178</v>
      </c>
      <c r="AE8" s="146" t="s">
        <v>179</v>
      </c>
      <c r="AF8" s="146" t="s">
        <v>326</v>
      </c>
      <c r="AG8" s="146" t="s">
        <v>178</v>
      </c>
      <c r="AH8" s="146" t="s">
        <v>179</v>
      </c>
      <c r="AI8" s="146" t="s">
        <v>326</v>
      </c>
    </row>
    <row r="9" spans="1:36">
      <c r="A9" s="7"/>
      <c r="B9" s="17"/>
      <c r="C9" s="129" t="s">
        <v>325</v>
      </c>
      <c r="D9" s="51" t="s">
        <v>180</v>
      </c>
      <c r="E9" s="58" t="s">
        <v>181</v>
      </c>
      <c r="F9" s="129" t="s">
        <v>325</v>
      </c>
      <c r="G9" s="51" t="s">
        <v>180</v>
      </c>
      <c r="H9" s="58" t="s">
        <v>181</v>
      </c>
      <c r="I9" s="129" t="s">
        <v>325</v>
      </c>
      <c r="J9" s="51" t="s">
        <v>180</v>
      </c>
      <c r="K9" s="58" t="s">
        <v>181</v>
      </c>
      <c r="L9" s="129" t="s">
        <v>325</v>
      </c>
      <c r="M9" s="51" t="s">
        <v>180</v>
      </c>
      <c r="N9" s="58" t="s">
        <v>181</v>
      </c>
      <c r="O9" s="129" t="s">
        <v>325</v>
      </c>
      <c r="P9" s="51" t="s">
        <v>180</v>
      </c>
      <c r="Q9" s="58" t="s">
        <v>181</v>
      </c>
      <c r="R9" s="129" t="s">
        <v>325</v>
      </c>
      <c r="S9" s="51" t="s">
        <v>180</v>
      </c>
      <c r="T9" s="58" t="s">
        <v>181</v>
      </c>
      <c r="U9" s="129" t="s">
        <v>2063</v>
      </c>
      <c r="V9" s="51" t="s">
        <v>180</v>
      </c>
      <c r="W9" s="58" t="s">
        <v>181</v>
      </c>
      <c r="X9" s="129" t="s">
        <v>2063</v>
      </c>
      <c r="Y9" s="51" t="s">
        <v>180</v>
      </c>
      <c r="Z9" s="58" t="s">
        <v>181</v>
      </c>
      <c r="AA9" s="129" t="s">
        <v>2063</v>
      </c>
      <c r="AB9" s="51" t="s">
        <v>180</v>
      </c>
      <c r="AC9" s="58" t="s">
        <v>181</v>
      </c>
      <c r="AD9" s="129" t="s">
        <v>2063</v>
      </c>
      <c r="AE9" s="51" t="s">
        <v>180</v>
      </c>
      <c r="AF9" s="58" t="s">
        <v>181</v>
      </c>
      <c r="AG9" s="129" t="s">
        <v>2063</v>
      </c>
      <c r="AH9" s="51" t="s">
        <v>180</v>
      </c>
      <c r="AI9" s="58" t="s">
        <v>181</v>
      </c>
    </row>
    <row r="10" spans="1:36">
      <c r="A10" s="5"/>
      <c r="B10" s="40"/>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row>
    <row r="11" spans="1:36">
      <c r="A11" s="134">
        <v>1</v>
      </c>
      <c r="B11" s="729" t="s">
        <v>2035</v>
      </c>
      <c r="C11" s="144">
        <v>100000</v>
      </c>
      <c r="D11" s="144">
        <v>10</v>
      </c>
      <c r="E11" s="144">
        <v>1000000</v>
      </c>
      <c r="F11" s="144">
        <v>100000</v>
      </c>
      <c r="G11" s="144">
        <v>10</v>
      </c>
      <c r="H11" s="144">
        <v>1000000</v>
      </c>
      <c r="I11" s="144">
        <v>100000</v>
      </c>
      <c r="J11" s="144">
        <v>10</v>
      </c>
      <c r="K11" s="144">
        <v>1000000</v>
      </c>
      <c r="L11" s="144">
        <v>100000</v>
      </c>
      <c r="M11" s="144">
        <v>10</v>
      </c>
      <c r="N11" s="144">
        <v>1000000</v>
      </c>
      <c r="O11" s="144">
        <v>100000</v>
      </c>
      <c r="P11" s="144">
        <v>10</v>
      </c>
      <c r="Q11" s="144">
        <v>1000000</v>
      </c>
      <c r="R11" s="144">
        <v>100000</v>
      </c>
      <c r="S11" s="144">
        <v>10</v>
      </c>
      <c r="T11" s="144">
        <v>1000000</v>
      </c>
      <c r="U11" s="1661" t="s">
        <v>2062</v>
      </c>
      <c r="V11" s="1662"/>
      <c r="W11" s="1663"/>
      <c r="X11" s="769">
        <f>+'[3]True-up'!F16</f>
        <v>1</v>
      </c>
      <c r="Y11" s="769">
        <f>+'[3]True-up'!G16</f>
        <v>30</v>
      </c>
      <c r="Z11" s="768">
        <f>+'[3]True-up'!H16</f>
        <v>20.441292298297707</v>
      </c>
      <c r="AA11" s="772">
        <f>+[3]APR!E11</f>
        <v>1</v>
      </c>
      <c r="AB11" s="772">
        <f>+[3]APR!F11</f>
        <v>35</v>
      </c>
      <c r="AC11" s="768">
        <f>+[3]APR!G11</f>
        <v>0.25949106808950156</v>
      </c>
      <c r="AD11" s="772">
        <f>+'[3]ARR 26-27'!D5</f>
        <v>1</v>
      </c>
      <c r="AE11" s="772">
        <f>+'[3]ARR 26-27'!E5</f>
        <v>35</v>
      </c>
      <c r="AF11" s="768">
        <f>+'[3]Summary '!F12</f>
        <v>0.26060999999999995</v>
      </c>
      <c r="AG11" s="766"/>
      <c r="AH11" s="922">
        <f>(AE11/Y11)^(1/2)-1</f>
        <v>8.012344973464347E-2</v>
      </c>
      <c r="AI11" s="922">
        <f>(AF11/Z11)^(1/2)-1</f>
        <v>-0.88708767142102851</v>
      </c>
    </row>
    <row r="12" spans="1:36">
      <c r="A12" s="134">
        <v>2</v>
      </c>
      <c r="B12" s="728" t="s">
        <v>2038</v>
      </c>
      <c r="C12" s="144"/>
      <c r="D12" s="144"/>
      <c r="E12" s="144"/>
      <c r="F12" s="144"/>
      <c r="G12" s="144"/>
      <c r="H12" s="144"/>
      <c r="I12" s="144"/>
      <c r="J12" s="144"/>
      <c r="K12" s="144"/>
      <c r="L12" s="144"/>
      <c r="M12" s="144"/>
      <c r="N12" s="144"/>
      <c r="O12" s="144"/>
      <c r="P12" s="144"/>
      <c r="Q12" s="144"/>
      <c r="R12" s="144"/>
      <c r="S12" s="144"/>
      <c r="T12" s="144"/>
      <c r="U12" s="1664"/>
      <c r="V12" s="1665"/>
      <c r="W12" s="1666"/>
      <c r="X12" s="769">
        <f>+'[3]True-up'!F17</f>
        <v>4</v>
      </c>
      <c r="Y12" s="769">
        <f>+'[3]True-up'!G17</f>
        <v>8060</v>
      </c>
      <c r="Z12" s="768">
        <f>+'[3]True-up'!H17</f>
        <v>17.098748077840021</v>
      </c>
      <c r="AA12" s="772">
        <f>+[3]APR!E12</f>
        <v>4</v>
      </c>
      <c r="AB12" s="772">
        <f>+[3]APR!F12</f>
        <v>10659</v>
      </c>
      <c r="AC12" s="768">
        <f>+[3]APR!G12</f>
        <v>60.897968118295069</v>
      </c>
      <c r="AD12" s="772">
        <f>+'[3]ARR 26-27'!D6</f>
        <v>4</v>
      </c>
      <c r="AE12" s="772">
        <f>+'[3]ARR 26-27'!E6</f>
        <v>16556</v>
      </c>
      <c r="AF12" s="768">
        <f>+'[3]Summary '!F13</f>
        <v>100.7306112</v>
      </c>
      <c r="AG12" s="59"/>
      <c r="AH12" s="922">
        <f>(AE12/Y12)^(1/2)-1</f>
        <v>0.43321118220727328</v>
      </c>
      <c r="AI12" s="922">
        <f>(AF12/Z12)^(1/2)-1</f>
        <v>1.4271609580876654</v>
      </c>
    </row>
    <row r="13" spans="1:36">
      <c r="A13" s="134">
        <v>3</v>
      </c>
      <c r="B13" s="729" t="s">
        <v>2039</v>
      </c>
      <c r="C13" s="144"/>
      <c r="D13" s="144"/>
      <c r="E13" s="144"/>
      <c r="F13" s="144"/>
      <c r="G13" s="144"/>
      <c r="H13" s="144"/>
      <c r="I13" s="144"/>
      <c r="J13" s="144"/>
      <c r="K13" s="144"/>
      <c r="L13" s="144"/>
      <c r="M13" s="144"/>
      <c r="N13" s="144"/>
      <c r="O13" s="144"/>
      <c r="P13" s="144"/>
      <c r="Q13" s="144"/>
      <c r="R13" s="144"/>
      <c r="S13" s="144"/>
      <c r="T13" s="144"/>
      <c r="U13" s="1664"/>
      <c r="V13" s="1665"/>
      <c r="W13" s="1666"/>
      <c r="X13" s="770"/>
      <c r="Y13" s="772">
        <f>+Working!R19</f>
        <v>0</v>
      </c>
      <c r="Z13" s="768">
        <f>+Working!R25</f>
        <v>0</v>
      </c>
      <c r="AA13" s="765"/>
      <c r="AB13" s="765"/>
      <c r="AC13" s="765"/>
      <c r="AD13" s="765"/>
      <c r="AE13" s="765"/>
      <c r="AF13" s="765"/>
      <c r="AG13" s="59"/>
      <c r="AH13" s="59"/>
      <c r="AI13" s="59"/>
    </row>
    <row r="14" spans="1:36">
      <c r="A14" s="5"/>
      <c r="B14" s="40"/>
      <c r="C14" s="144"/>
      <c r="D14" s="144"/>
      <c r="E14" s="144"/>
      <c r="F14" s="144"/>
      <c r="G14" s="144"/>
      <c r="H14" s="144"/>
      <c r="I14" s="144"/>
      <c r="J14" s="144"/>
      <c r="K14" s="144"/>
      <c r="L14" s="144"/>
      <c r="M14" s="144"/>
      <c r="N14" s="144"/>
      <c r="O14" s="144"/>
      <c r="P14" s="144"/>
      <c r="Q14" s="144"/>
      <c r="R14" s="144"/>
      <c r="S14" s="144"/>
      <c r="T14" s="144"/>
      <c r="U14" s="1664"/>
      <c r="V14" s="1665"/>
      <c r="W14" s="1666"/>
      <c r="X14" s="770"/>
      <c r="Y14" s="765"/>
      <c r="Z14" s="765"/>
      <c r="AA14" s="765"/>
      <c r="AB14" s="765"/>
      <c r="AC14" s="765"/>
      <c r="AD14" s="765"/>
      <c r="AE14" s="765"/>
      <c r="AF14" s="765"/>
      <c r="AG14" s="59"/>
      <c r="AH14" s="59"/>
      <c r="AI14" s="59"/>
    </row>
    <row r="15" spans="1:36">
      <c r="A15" s="5"/>
      <c r="B15" s="40"/>
      <c r="C15" s="103"/>
      <c r="D15" s="103"/>
      <c r="E15" s="103"/>
      <c r="F15" s="103"/>
      <c r="G15" s="103"/>
      <c r="H15" s="103"/>
      <c r="I15" s="103"/>
      <c r="J15" s="103"/>
      <c r="K15" s="103"/>
      <c r="L15" s="103"/>
      <c r="M15" s="103"/>
      <c r="N15" s="103"/>
      <c r="O15" s="103"/>
      <c r="P15" s="103"/>
      <c r="Q15" s="103"/>
      <c r="R15" s="103"/>
      <c r="S15" s="103"/>
      <c r="T15" s="103"/>
      <c r="U15" s="1664"/>
      <c r="V15" s="1665"/>
      <c r="W15" s="1666"/>
      <c r="X15" s="771"/>
      <c r="Y15" s="767"/>
      <c r="Z15" s="767"/>
      <c r="AA15" s="767"/>
      <c r="AB15" s="767"/>
      <c r="AC15" s="767"/>
      <c r="AD15" s="765"/>
      <c r="AE15" s="765"/>
      <c r="AF15" s="765"/>
      <c r="AG15" s="59"/>
      <c r="AH15" s="59"/>
      <c r="AI15" s="59"/>
    </row>
    <row r="16" spans="1:36">
      <c r="A16" s="5"/>
      <c r="B16" s="40"/>
      <c r="C16" s="103"/>
      <c r="D16" s="103"/>
      <c r="E16" s="103"/>
      <c r="F16" s="103"/>
      <c r="G16" s="103"/>
      <c r="H16" s="103"/>
      <c r="I16" s="103"/>
      <c r="J16" s="103"/>
      <c r="K16" s="103"/>
      <c r="L16" s="103"/>
      <c r="M16" s="103"/>
      <c r="N16" s="103"/>
      <c r="O16" s="103"/>
      <c r="P16" s="103"/>
      <c r="Q16" s="103"/>
      <c r="R16" s="103"/>
      <c r="S16" s="103"/>
      <c r="T16" s="103"/>
      <c r="U16" s="1664"/>
      <c r="V16" s="1665"/>
      <c r="W16" s="1666"/>
      <c r="X16" s="771"/>
      <c r="Y16" s="767"/>
      <c r="Z16" s="767"/>
      <c r="AA16" s="767"/>
      <c r="AB16" s="767"/>
      <c r="AC16" s="767"/>
      <c r="AD16" s="767"/>
      <c r="AE16" s="767"/>
      <c r="AF16" s="767"/>
      <c r="AG16" s="765"/>
      <c r="AH16" s="765"/>
      <c r="AI16" s="765"/>
    </row>
    <row r="17" spans="1:35">
      <c r="A17" s="5"/>
      <c r="B17" s="40"/>
      <c r="C17" s="102"/>
      <c r="D17" s="102"/>
      <c r="E17" s="102"/>
      <c r="F17" s="102"/>
      <c r="G17" s="102"/>
      <c r="H17" s="102"/>
      <c r="I17" s="102"/>
      <c r="J17" s="102"/>
      <c r="K17" s="102"/>
      <c r="L17" s="102"/>
      <c r="M17" s="102"/>
      <c r="N17" s="102"/>
      <c r="O17" s="102"/>
      <c r="P17" s="102"/>
      <c r="Q17" s="102"/>
      <c r="R17" s="102"/>
      <c r="S17" s="102"/>
      <c r="T17" s="102"/>
      <c r="U17" s="1664"/>
      <c r="V17" s="1665"/>
      <c r="W17" s="1666"/>
      <c r="X17" s="770"/>
      <c r="Y17" s="765"/>
      <c r="Z17" s="765"/>
      <c r="AA17" s="765"/>
      <c r="AB17" s="765"/>
      <c r="AC17" s="765"/>
      <c r="AD17" s="767"/>
      <c r="AE17" s="767"/>
      <c r="AF17" s="767"/>
      <c r="AG17" s="767"/>
      <c r="AH17" s="767"/>
      <c r="AI17" s="767"/>
    </row>
    <row r="18" spans="1:35">
      <c r="A18" s="5"/>
      <c r="B18" s="40"/>
      <c r="C18" s="102"/>
      <c r="D18" s="102"/>
      <c r="E18" s="102"/>
      <c r="F18" s="102"/>
      <c r="G18" s="102"/>
      <c r="H18" s="102"/>
      <c r="I18" s="102"/>
      <c r="J18" s="102"/>
      <c r="K18" s="102"/>
      <c r="L18" s="102"/>
      <c r="M18" s="102"/>
      <c r="N18" s="102"/>
      <c r="O18" s="102"/>
      <c r="P18" s="102"/>
      <c r="Q18" s="102"/>
      <c r="R18" s="102"/>
      <c r="S18" s="102"/>
      <c r="T18" s="102"/>
      <c r="U18" s="1667"/>
      <c r="V18" s="1668"/>
      <c r="W18" s="1669"/>
      <c r="X18" s="770"/>
      <c r="Y18" s="765"/>
      <c r="Z18" s="765"/>
      <c r="AA18" s="765"/>
      <c r="AB18" s="765"/>
      <c r="AC18" s="765"/>
      <c r="AD18" s="765"/>
      <c r="AE18" s="765"/>
      <c r="AF18" s="765"/>
      <c r="AG18" s="765"/>
      <c r="AH18" s="765"/>
      <c r="AI18" s="765"/>
    </row>
    <row r="19" spans="1:35">
      <c r="A19" s="5"/>
      <c r="B19" s="31" t="s">
        <v>18</v>
      </c>
      <c r="C19" s="102"/>
      <c r="D19" s="102"/>
      <c r="E19" s="102"/>
      <c r="F19" s="102"/>
      <c r="G19" s="102"/>
      <c r="H19" s="102"/>
      <c r="I19" s="102"/>
      <c r="J19" s="102"/>
      <c r="K19" s="102"/>
      <c r="L19" s="102"/>
      <c r="M19" s="102"/>
      <c r="N19" s="102"/>
      <c r="O19" s="102"/>
      <c r="P19" s="102"/>
      <c r="Q19" s="102"/>
      <c r="R19" s="102"/>
      <c r="S19" s="102"/>
      <c r="T19" s="102"/>
      <c r="U19" s="765"/>
      <c r="V19" s="765"/>
      <c r="W19" s="765"/>
      <c r="X19" s="770">
        <f>SUM(X11:X18)</f>
        <v>5</v>
      </c>
      <c r="Y19" s="770">
        <f t="shared" ref="Y19:AG19" si="0">SUM(Y11:Y18)</f>
        <v>8090</v>
      </c>
      <c r="Z19" s="764">
        <f t="shared" si="0"/>
        <v>37.540040376137725</v>
      </c>
      <c r="AA19" s="764">
        <f t="shared" si="0"/>
        <v>5</v>
      </c>
      <c r="AB19" s="764">
        <f t="shared" si="0"/>
        <v>10694</v>
      </c>
      <c r="AC19" s="764">
        <f t="shared" si="0"/>
        <v>61.157459186384571</v>
      </c>
      <c r="AD19" s="764">
        <f t="shared" si="0"/>
        <v>5</v>
      </c>
      <c r="AE19" s="764">
        <f t="shared" si="0"/>
        <v>16591</v>
      </c>
      <c r="AF19" s="764">
        <f t="shared" si="0"/>
        <v>100.9912212</v>
      </c>
      <c r="AG19" s="764">
        <f t="shared" si="0"/>
        <v>0</v>
      </c>
      <c r="AH19" s="923">
        <f>(AE19/Y19)^(1/2)-1</f>
        <v>0.43206265961480916</v>
      </c>
      <c r="AI19" s="923">
        <f>(AF19/Z19)^(1/2)-1</f>
        <v>0.64019107430506095</v>
      </c>
    </row>
    <row r="20" spans="1:35" ht="14.65" hidden="1" thickBot="1">
      <c r="A20" s="7"/>
      <c r="B20" s="29" t="s">
        <v>68</v>
      </c>
      <c r="C20" s="104"/>
      <c r="D20" s="104"/>
      <c r="E20" s="104"/>
      <c r="F20" s="104"/>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row>
    <row r="21" spans="1:35">
      <c r="B21" s="3" t="s">
        <v>509</v>
      </c>
      <c r="C21" s="3" t="s">
        <v>526</v>
      </c>
      <c r="F21" s="3" t="s">
        <v>526</v>
      </c>
      <c r="I21" s="3" t="s">
        <v>526</v>
      </c>
      <c r="L21" s="3" t="s">
        <v>526</v>
      </c>
      <c r="O21" s="3" t="s">
        <v>526</v>
      </c>
      <c r="R21" s="3" t="s">
        <v>526</v>
      </c>
    </row>
    <row r="22" spans="1:35">
      <c r="C22" s="3" t="s">
        <v>527</v>
      </c>
      <c r="F22" s="3" t="s">
        <v>527</v>
      </c>
      <c r="I22" s="3" t="s">
        <v>527</v>
      </c>
      <c r="L22" s="3" t="s">
        <v>527</v>
      </c>
      <c r="O22" s="3" t="s">
        <v>527</v>
      </c>
      <c r="R22" s="3" t="s">
        <v>527</v>
      </c>
    </row>
    <row r="23" spans="1:35">
      <c r="B23" s="1507" t="s">
        <v>1384</v>
      </c>
      <c r="C23" s="1507"/>
      <c r="D23" s="1507"/>
      <c r="E23" s="1507"/>
      <c r="F23" s="1507"/>
      <c r="G23" s="1507"/>
      <c r="H23" s="1507"/>
      <c r="I23" s="1507"/>
      <c r="J23" s="1507"/>
      <c r="K23" s="1507"/>
      <c r="L23" s="1507"/>
      <c r="M23" s="1507"/>
      <c r="N23" s="1507"/>
      <c r="O23" s="1507"/>
      <c r="P23" s="1507"/>
      <c r="Q23" s="1507"/>
      <c r="R23" s="1507"/>
      <c r="S23" s="1507"/>
      <c r="T23" s="1507"/>
      <c r="U23" s="1507"/>
      <c r="V23" s="1507"/>
      <c r="W23" s="1507"/>
      <c r="X23" s="1507"/>
      <c r="Y23" s="1507"/>
      <c r="Z23" s="1507"/>
      <c r="AA23" s="1507"/>
      <c r="AB23" s="1507"/>
    </row>
    <row r="24" spans="1:35">
      <c r="AG24" s="1670"/>
      <c r="AH24" s="1670"/>
      <c r="AI24" s="1670"/>
    </row>
  </sheetData>
  <mergeCells count="30">
    <mergeCell ref="B23:AB23"/>
    <mergeCell ref="U11:W18"/>
    <mergeCell ref="A1:B1"/>
    <mergeCell ref="AG24:AI24"/>
    <mergeCell ref="AJ6:AJ7"/>
    <mergeCell ref="AD7:AF7"/>
    <mergeCell ref="AD6:AF6"/>
    <mergeCell ref="AG6:AI7"/>
    <mergeCell ref="A2:AI2"/>
    <mergeCell ref="A6:A8"/>
    <mergeCell ref="B6:B8"/>
    <mergeCell ref="R6:T6"/>
    <mergeCell ref="R7:T7"/>
    <mergeCell ref="AH3:AI3"/>
    <mergeCell ref="U6:W6"/>
    <mergeCell ref="U7:W7"/>
    <mergeCell ref="X6:Z6"/>
    <mergeCell ref="X7:Z7"/>
    <mergeCell ref="AA6:AC6"/>
    <mergeCell ref="AA7:AC7"/>
    <mergeCell ref="O6:Q6"/>
    <mergeCell ref="O7:Q7"/>
    <mergeCell ref="C6:E6"/>
    <mergeCell ref="C7:E7"/>
    <mergeCell ref="L6:N6"/>
    <mergeCell ref="L7:N7"/>
    <mergeCell ref="I6:K6"/>
    <mergeCell ref="I7:K7"/>
    <mergeCell ref="F6:H6"/>
    <mergeCell ref="F7:H7"/>
  </mergeCells>
  <printOptions horizontalCentered="1"/>
  <pageMargins left="0.19685039370078741" right="0.19685039370078741" top="0.51181102362204722" bottom="0.51181102362204722" header="0.31496062992125984" footer="0.31496062992125984"/>
  <pageSetup paperSize="5" scale="99" orientation="landscape" r:id="rId1"/>
  <colBreaks count="1" manualBreakCount="1">
    <brk id="3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FFFF"/>
  </sheetPr>
  <dimension ref="A1:AS23"/>
  <sheetViews>
    <sheetView showGridLines="0" view="pageBreakPreview" zoomScaleNormal="78" zoomScaleSheetLayoutView="100" workbookViewId="0">
      <selection activeCell="C6" sqref="C6:O6"/>
    </sheetView>
  </sheetViews>
  <sheetFormatPr defaultRowHeight="14.25"/>
  <cols>
    <col min="1" max="1" width="5.46484375" style="3" customWidth="1"/>
    <col min="2" max="2" width="33.53125" style="3" bestFit="1" customWidth="1"/>
    <col min="3" max="41" width="13" style="3" customWidth="1"/>
    <col min="42" max="97" width="9.19921875" style="3"/>
    <col min="98" max="98" width="5.46484375" style="3" customWidth="1"/>
    <col min="99" max="99" width="54.19921875" style="3" customWidth="1"/>
    <col min="100" max="100" width="10.46484375" style="3" customWidth="1"/>
    <col min="101" max="101" width="10.53125" style="3" customWidth="1"/>
    <col min="102" max="104" width="7.796875" style="3" customWidth="1"/>
    <col min="105" max="105" width="13.19921875" style="3" customWidth="1"/>
    <col min="106" max="106" width="11.53125" style="3" customWidth="1"/>
    <col min="107" max="123" width="9.46484375" style="3" customWidth="1"/>
    <col min="124" max="124" width="10.53125" style="3" customWidth="1"/>
    <col min="125" max="125" width="10" style="3" customWidth="1"/>
    <col min="126" max="130" width="9.46484375" style="3" customWidth="1"/>
    <col min="131" max="131" width="12.796875" style="3" customWidth="1"/>
    <col min="132" max="132" width="10.796875" style="3" customWidth="1"/>
    <col min="133" max="133" width="11.19921875" style="3" customWidth="1"/>
    <col min="134" max="136" width="9.796875" style="3" customWidth="1"/>
    <col min="137" max="138" width="12.46484375" style="3" customWidth="1"/>
    <col min="139" max="139" width="12.796875" style="3" customWidth="1"/>
    <col min="140" max="140" width="10.53125" style="3" customWidth="1"/>
    <col min="141" max="141" width="10" style="3" customWidth="1"/>
    <col min="142" max="144" width="10.46484375" style="3" customWidth="1"/>
    <col min="145" max="145" width="13" style="3" customWidth="1"/>
    <col min="146" max="146" width="12.46484375" style="3" customWidth="1"/>
    <col min="147" max="155" width="13" style="3" customWidth="1"/>
    <col min="156" max="156" width="11.19921875" style="3" customWidth="1"/>
    <col min="157" max="160" width="10" style="3" customWidth="1"/>
    <col min="161" max="161" width="12.796875" style="3" customWidth="1"/>
    <col min="162" max="162" width="14.19921875" style="3" customWidth="1"/>
    <col min="163" max="163" width="13.53125" style="3" customWidth="1"/>
    <col min="164" max="353" width="9.19921875" style="3"/>
    <col min="354" max="354" width="5.46484375" style="3" customWidth="1"/>
    <col min="355" max="355" width="54.19921875" style="3" customWidth="1"/>
    <col min="356" max="356" width="10.46484375" style="3" customWidth="1"/>
    <col min="357" max="357" width="10.53125" style="3" customWidth="1"/>
    <col min="358" max="360" width="7.796875" style="3" customWidth="1"/>
    <col min="361" max="361" width="13.19921875" style="3" customWidth="1"/>
    <col min="362" max="362" width="11.53125" style="3" customWidth="1"/>
    <col min="363" max="379" width="9.46484375" style="3" customWidth="1"/>
    <col min="380" max="380" width="10.53125" style="3" customWidth="1"/>
    <col min="381" max="381" width="10" style="3" customWidth="1"/>
    <col min="382" max="386" width="9.46484375" style="3" customWidth="1"/>
    <col min="387" max="387" width="12.796875" style="3" customWidth="1"/>
    <col min="388" max="388" width="10.796875" style="3" customWidth="1"/>
    <col min="389" max="389" width="11.19921875" style="3" customWidth="1"/>
    <col min="390" max="392" width="9.796875" style="3" customWidth="1"/>
    <col min="393" max="394" width="12.46484375" style="3" customWidth="1"/>
    <col min="395" max="395" width="12.796875" style="3" customWidth="1"/>
    <col min="396" max="396" width="10.53125" style="3" customWidth="1"/>
    <col min="397" max="397" width="10" style="3" customWidth="1"/>
    <col min="398" max="400" width="10.46484375" style="3" customWidth="1"/>
    <col min="401" max="401" width="13" style="3" customWidth="1"/>
    <col min="402" max="402" width="12.46484375" style="3" customWidth="1"/>
    <col min="403" max="411" width="13" style="3" customWidth="1"/>
    <col min="412" max="412" width="11.19921875" style="3" customWidth="1"/>
    <col min="413" max="416" width="10" style="3" customWidth="1"/>
    <col min="417" max="417" width="12.796875" style="3" customWidth="1"/>
    <col min="418" max="418" width="14.19921875" style="3" customWidth="1"/>
    <col min="419" max="419" width="13.53125" style="3" customWidth="1"/>
    <col min="420" max="609" width="9.19921875" style="3"/>
    <col min="610" max="610" width="5.46484375" style="3" customWidth="1"/>
    <col min="611" max="611" width="54.19921875" style="3" customWidth="1"/>
    <col min="612" max="612" width="10.46484375" style="3" customWidth="1"/>
    <col min="613" max="613" width="10.53125" style="3" customWidth="1"/>
    <col min="614" max="616" width="7.796875" style="3" customWidth="1"/>
    <col min="617" max="617" width="13.19921875" style="3" customWidth="1"/>
    <col min="618" max="618" width="11.53125" style="3" customWidth="1"/>
    <col min="619" max="635" width="9.46484375" style="3" customWidth="1"/>
    <col min="636" max="636" width="10.53125" style="3" customWidth="1"/>
    <col min="637" max="637" width="10" style="3" customWidth="1"/>
    <col min="638" max="642" width="9.46484375" style="3" customWidth="1"/>
    <col min="643" max="643" width="12.796875" style="3" customWidth="1"/>
    <col min="644" max="644" width="10.796875" style="3" customWidth="1"/>
    <col min="645" max="645" width="11.19921875" style="3" customWidth="1"/>
    <col min="646" max="648" width="9.796875" style="3" customWidth="1"/>
    <col min="649" max="650" width="12.46484375" style="3" customWidth="1"/>
    <col min="651" max="651" width="12.796875" style="3" customWidth="1"/>
    <col min="652" max="652" width="10.53125" style="3" customWidth="1"/>
    <col min="653" max="653" width="10" style="3" customWidth="1"/>
    <col min="654" max="656" width="10.46484375" style="3" customWidth="1"/>
    <col min="657" max="657" width="13" style="3" customWidth="1"/>
    <col min="658" max="658" width="12.46484375" style="3" customWidth="1"/>
    <col min="659" max="667" width="13" style="3" customWidth="1"/>
    <col min="668" max="668" width="11.19921875" style="3" customWidth="1"/>
    <col min="669" max="672" width="10" style="3" customWidth="1"/>
    <col min="673" max="673" width="12.796875" style="3" customWidth="1"/>
    <col min="674" max="674" width="14.19921875" style="3" customWidth="1"/>
    <col min="675" max="675" width="13.53125" style="3" customWidth="1"/>
    <col min="676" max="865" width="9.19921875" style="3"/>
    <col min="866" max="866" width="5.46484375" style="3" customWidth="1"/>
    <col min="867" max="867" width="54.19921875" style="3" customWidth="1"/>
    <col min="868" max="868" width="10.46484375" style="3" customWidth="1"/>
    <col min="869" max="869" width="10.53125" style="3" customWidth="1"/>
    <col min="870" max="872" width="7.796875" style="3" customWidth="1"/>
    <col min="873" max="873" width="13.19921875" style="3" customWidth="1"/>
    <col min="874" max="874" width="11.53125" style="3" customWidth="1"/>
    <col min="875" max="891" width="9.46484375" style="3" customWidth="1"/>
    <col min="892" max="892" width="10.53125" style="3" customWidth="1"/>
    <col min="893" max="893" width="10" style="3" customWidth="1"/>
    <col min="894" max="898" width="9.46484375" style="3" customWidth="1"/>
    <col min="899" max="899" width="12.796875" style="3" customWidth="1"/>
    <col min="900" max="900" width="10.796875" style="3" customWidth="1"/>
    <col min="901" max="901" width="11.19921875" style="3" customWidth="1"/>
    <col min="902" max="904" width="9.796875" style="3" customWidth="1"/>
    <col min="905" max="906" width="12.46484375" style="3" customWidth="1"/>
    <col min="907" max="907" width="12.796875" style="3" customWidth="1"/>
    <col min="908" max="908" width="10.53125" style="3" customWidth="1"/>
    <col min="909" max="909" width="10" style="3" customWidth="1"/>
    <col min="910" max="912" width="10.46484375" style="3" customWidth="1"/>
    <col min="913" max="913" width="13" style="3" customWidth="1"/>
    <col min="914" max="914" width="12.46484375" style="3" customWidth="1"/>
    <col min="915" max="923" width="13" style="3" customWidth="1"/>
    <col min="924" max="924" width="11.19921875" style="3" customWidth="1"/>
    <col min="925" max="928" width="10" style="3" customWidth="1"/>
    <col min="929" max="929" width="12.796875" style="3" customWidth="1"/>
    <col min="930" max="930" width="14.19921875" style="3" customWidth="1"/>
    <col min="931" max="931" width="13.53125" style="3" customWidth="1"/>
    <col min="932" max="1121" width="9.19921875" style="3"/>
    <col min="1122" max="1122" width="5.46484375" style="3" customWidth="1"/>
    <col min="1123" max="1123" width="54.19921875" style="3" customWidth="1"/>
    <col min="1124" max="1124" width="10.46484375" style="3" customWidth="1"/>
    <col min="1125" max="1125" width="10.53125" style="3" customWidth="1"/>
    <col min="1126" max="1128" width="7.796875" style="3" customWidth="1"/>
    <col min="1129" max="1129" width="13.19921875" style="3" customWidth="1"/>
    <col min="1130" max="1130" width="11.53125" style="3" customWidth="1"/>
    <col min="1131" max="1147" width="9.46484375" style="3" customWidth="1"/>
    <col min="1148" max="1148" width="10.53125" style="3" customWidth="1"/>
    <col min="1149" max="1149" width="10" style="3" customWidth="1"/>
    <col min="1150" max="1154" width="9.46484375" style="3" customWidth="1"/>
    <col min="1155" max="1155" width="12.796875" style="3" customWidth="1"/>
    <col min="1156" max="1156" width="10.796875" style="3" customWidth="1"/>
    <col min="1157" max="1157" width="11.19921875" style="3" customWidth="1"/>
    <col min="1158" max="1160" width="9.796875" style="3" customWidth="1"/>
    <col min="1161" max="1162" width="12.46484375" style="3" customWidth="1"/>
    <col min="1163" max="1163" width="12.796875" style="3" customWidth="1"/>
    <col min="1164" max="1164" width="10.53125" style="3" customWidth="1"/>
    <col min="1165" max="1165" width="10" style="3" customWidth="1"/>
    <col min="1166" max="1168" width="10.46484375" style="3" customWidth="1"/>
    <col min="1169" max="1169" width="13" style="3" customWidth="1"/>
    <col min="1170" max="1170" width="12.46484375" style="3" customWidth="1"/>
    <col min="1171" max="1179" width="13" style="3" customWidth="1"/>
    <col min="1180" max="1180" width="11.19921875" style="3" customWidth="1"/>
    <col min="1181" max="1184" width="10" style="3" customWidth="1"/>
    <col min="1185" max="1185" width="12.796875" style="3" customWidth="1"/>
    <col min="1186" max="1186" width="14.19921875" style="3" customWidth="1"/>
    <col min="1187" max="1187" width="13.53125" style="3" customWidth="1"/>
    <col min="1188" max="1377" width="9.19921875" style="3"/>
    <col min="1378" max="1378" width="5.46484375" style="3" customWidth="1"/>
    <col min="1379" max="1379" width="54.19921875" style="3" customWidth="1"/>
    <col min="1380" max="1380" width="10.46484375" style="3" customWidth="1"/>
    <col min="1381" max="1381" width="10.53125" style="3" customWidth="1"/>
    <col min="1382" max="1384" width="7.796875" style="3" customWidth="1"/>
    <col min="1385" max="1385" width="13.19921875" style="3" customWidth="1"/>
    <col min="1386" max="1386" width="11.53125" style="3" customWidth="1"/>
    <col min="1387" max="1403" width="9.46484375" style="3" customWidth="1"/>
    <col min="1404" max="1404" width="10.53125" style="3" customWidth="1"/>
    <col min="1405" max="1405" width="10" style="3" customWidth="1"/>
    <col min="1406" max="1410" width="9.46484375" style="3" customWidth="1"/>
    <col min="1411" max="1411" width="12.796875" style="3" customWidth="1"/>
    <col min="1412" max="1412" width="10.796875" style="3" customWidth="1"/>
    <col min="1413" max="1413" width="11.19921875" style="3" customWidth="1"/>
    <col min="1414" max="1416" width="9.796875" style="3" customWidth="1"/>
    <col min="1417" max="1418" width="12.46484375" style="3" customWidth="1"/>
    <col min="1419" max="1419" width="12.796875" style="3" customWidth="1"/>
    <col min="1420" max="1420" width="10.53125" style="3" customWidth="1"/>
    <col min="1421" max="1421" width="10" style="3" customWidth="1"/>
    <col min="1422" max="1424" width="10.46484375" style="3" customWidth="1"/>
    <col min="1425" max="1425" width="13" style="3" customWidth="1"/>
    <col min="1426" max="1426" width="12.46484375" style="3" customWidth="1"/>
    <col min="1427" max="1435" width="13" style="3" customWidth="1"/>
    <col min="1436" max="1436" width="11.19921875" style="3" customWidth="1"/>
    <col min="1437" max="1440" width="10" style="3" customWidth="1"/>
    <col min="1441" max="1441" width="12.796875" style="3" customWidth="1"/>
    <col min="1442" max="1442" width="14.19921875" style="3" customWidth="1"/>
    <col min="1443" max="1443" width="13.53125" style="3" customWidth="1"/>
    <col min="1444" max="1633" width="9.19921875" style="3"/>
    <col min="1634" max="1634" width="5.46484375" style="3" customWidth="1"/>
    <col min="1635" max="1635" width="54.19921875" style="3" customWidth="1"/>
    <col min="1636" max="1636" width="10.46484375" style="3" customWidth="1"/>
    <col min="1637" max="1637" width="10.53125" style="3" customWidth="1"/>
    <col min="1638" max="1640" width="7.796875" style="3" customWidth="1"/>
    <col min="1641" max="1641" width="13.19921875" style="3" customWidth="1"/>
    <col min="1642" max="1642" width="11.53125" style="3" customWidth="1"/>
    <col min="1643" max="1659" width="9.46484375" style="3" customWidth="1"/>
    <col min="1660" max="1660" width="10.53125" style="3" customWidth="1"/>
    <col min="1661" max="1661" width="10" style="3" customWidth="1"/>
    <col min="1662" max="1666" width="9.46484375" style="3" customWidth="1"/>
    <col min="1667" max="1667" width="12.796875" style="3" customWidth="1"/>
    <col min="1668" max="1668" width="10.796875" style="3" customWidth="1"/>
    <col min="1669" max="1669" width="11.19921875" style="3" customWidth="1"/>
    <col min="1670" max="1672" width="9.796875" style="3" customWidth="1"/>
    <col min="1673" max="1674" width="12.46484375" style="3" customWidth="1"/>
    <col min="1675" max="1675" width="12.796875" style="3" customWidth="1"/>
    <col min="1676" max="1676" width="10.53125" style="3" customWidth="1"/>
    <col min="1677" max="1677" width="10" style="3" customWidth="1"/>
    <col min="1678" max="1680" width="10.46484375" style="3" customWidth="1"/>
    <col min="1681" max="1681" width="13" style="3" customWidth="1"/>
    <col min="1682" max="1682" width="12.46484375" style="3" customWidth="1"/>
    <col min="1683" max="1691" width="13" style="3" customWidth="1"/>
    <col min="1692" max="1692" width="11.19921875" style="3" customWidth="1"/>
    <col min="1693" max="1696" width="10" style="3" customWidth="1"/>
    <col min="1697" max="1697" width="12.796875" style="3" customWidth="1"/>
    <col min="1698" max="1698" width="14.19921875" style="3" customWidth="1"/>
    <col min="1699" max="1699" width="13.53125" style="3" customWidth="1"/>
    <col min="1700" max="1889" width="9.19921875" style="3"/>
    <col min="1890" max="1890" width="5.46484375" style="3" customWidth="1"/>
    <col min="1891" max="1891" width="54.19921875" style="3" customWidth="1"/>
    <col min="1892" max="1892" width="10.46484375" style="3" customWidth="1"/>
    <col min="1893" max="1893" width="10.53125" style="3" customWidth="1"/>
    <col min="1894" max="1896" width="7.796875" style="3" customWidth="1"/>
    <col min="1897" max="1897" width="13.19921875" style="3" customWidth="1"/>
    <col min="1898" max="1898" width="11.53125" style="3" customWidth="1"/>
    <col min="1899" max="1915" width="9.46484375" style="3" customWidth="1"/>
    <col min="1916" max="1916" width="10.53125" style="3" customWidth="1"/>
    <col min="1917" max="1917" width="10" style="3" customWidth="1"/>
    <col min="1918" max="1922" width="9.46484375" style="3" customWidth="1"/>
    <col min="1923" max="1923" width="12.796875" style="3" customWidth="1"/>
    <col min="1924" max="1924" width="10.796875" style="3" customWidth="1"/>
    <col min="1925" max="1925" width="11.19921875" style="3" customWidth="1"/>
    <col min="1926" max="1928" width="9.796875" style="3" customWidth="1"/>
    <col min="1929" max="1930" width="12.46484375" style="3" customWidth="1"/>
    <col min="1931" max="1931" width="12.796875" style="3" customWidth="1"/>
    <col min="1932" max="1932" width="10.53125" style="3" customWidth="1"/>
    <col min="1933" max="1933" width="10" style="3" customWidth="1"/>
    <col min="1934" max="1936" width="10.46484375" style="3" customWidth="1"/>
    <col min="1937" max="1937" width="13" style="3" customWidth="1"/>
    <col min="1938" max="1938" width="12.46484375" style="3" customWidth="1"/>
    <col min="1939" max="1947" width="13" style="3" customWidth="1"/>
    <col min="1948" max="1948" width="11.19921875" style="3" customWidth="1"/>
    <col min="1949" max="1952" width="10" style="3" customWidth="1"/>
    <col min="1953" max="1953" width="12.796875" style="3" customWidth="1"/>
    <col min="1954" max="1954" width="14.19921875" style="3" customWidth="1"/>
    <col min="1955" max="1955" width="13.53125" style="3" customWidth="1"/>
    <col min="1956" max="2145" width="9.19921875" style="3"/>
    <col min="2146" max="2146" width="5.46484375" style="3" customWidth="1"/>
    <col min="2147" max="2147" width="54.19921875" style="3" customWidth="1"/>
    <col min="2148" max="2148" width="10.46484375" style="3" customWidth="1"/>
    <col min="2149" max="2149" width="10.53125" style="3" customWidth="1"/>
    <col min="2150" max="2152" width="7.796875" style="3" customWidth="1"/>
    <col min="2153" max="2153" width="13.19921875" style="3" customWidth="1"/>
    <col min="2154" max="2154" width="11.53125" style="3" customWidth="1"/>
    <col min="2155" max="2171" width="9.46484375" style="3" customWidth="1"/>
    <col min="2172" max="2172" width="10.53125" style="3" customWidth="1"/>
    <col min="2173" max="2173" width="10" style="3" customWidth="1"/>
    <col min="2174" max="2178" width="9.46484375" style="3" customWidth="1"/>
    <col min="2179" max="2179" width="12.796875" style="3" customWidth="1"/>
    <col min="2180" max="2180" width="10.796875" style="3" customWidth="1"/>
    <col min="2181" max="2181" width="11.19921875" style="3" customWidth="1"/>
    <col min="2182" max="2184" width="9.796875" style="3" customWidth="1"/>
    <col min="2185" max="2186" width="12.46484375" style="3" customWidth="1"/>
    <col min="2187" max="2187" width="12.796875" style="3" customWidth="1"/>
    <col min="2188" max="2188" width="10.53125" style="3" customWidth="1"/>
    <col min="2189" max="2189" width="10" style="3" customWidth="1"/>
    <col min="2190" max="2192" width="10.46484375" style="3" customWidth="1"/>
    <col min="2193" max="2193" width="13" style="3" customWidth="1"/>
    <col min="2194" max="2194" width="12.46484375" style="3" customWidth="1"/>
    <col min="2195" max="2203" width="13" style="3" customWidth="1"/>
    <col min="2204" max="2204" width="11.19921875" style="3" customWidth="1"/>
    <col min="2205" max="2208" width="10" style="3" customWidth="1"/>
    <col min="2209" max="2209" width="12.796875" style="3" customWidth="1"/>
    <col min="2210" max="2210" width="14.19921875" style="3" customWidth="1"/>
    <col min="2211" max="2211" width="13.53125" style="3" customWidth="1"/>
    <col min="2212" max="2401" width="9.19921875" style="3"/>
    <col min="2402" max="2402" width="5.46484375" style="3" customWidth="1"/>
    <col min="2403" max="2403" width="54.19921875" style="3" customWidth="1"/>
    <col min="2404" max="2404" width="10.46484375" style="3" customWidth="1"/>
    <col min="2405" max="2405" width="10.53125" style="3" customWidth="1"/>
    <col min="2406" max="2408" width="7.796875" style="3" customWidth="1"/>
    <col min="2409" max="2409" width="13.19921875" style="3" customWidth="1"/>
    <col min="2410" max="2410" width="11.53125" style="3" customWidth="1"/>
    <col min="2411" max="2427" width="9.46484375" style="3" customWidth="1"/>
    <col min="2428" max="2428" width="10.53125" style="3" customWidth="1"/>
    <col min="2429" max="2429" width="10" style="3" customWidth="1"/>
    <col min="2430" max="2434" width="9.46484375" style="3" customWidth="1"/>
    <col min="2435" max="2435" width="12.796875" style="3" customWidth="1"/>
    <col min="2436" max="2436" width="10.796875" style="3" customWidth="1"/>
    <col min="2437" max="2437" width="11.19921875" style="3" customWidth="1"/>
    <col min="2438" max="2440" width="9.796875" style="3" customWidth="1"/>
    <col min="2441" max="2442" width="12.46484375" style="3" customWidth="1"/>
    <col min="2443" max="2443" width="12.796875" style="3" customWidth="1"/>
    <col min="2444" max="2444" width="10.53125" style="3" customWidth="1"/>
    <col min="2445" max="2445" width="10" style="3" customWidth="1"/>
    <col min="2446" max="2448" width="10.46484375" style="3" customWidth="1"/>
    <col min="2449" max="2449" width="13" style="3" customWidth="1"/>
    <col min="2450" max="2450" width="12.46484375" style="3" customWidth="1"/>
    <col min="2451" max="2459" width="13" style="3" customWidth="1"/>
    <col min="2460" max="2460" width="11.19921875" style="3" customWidth="1"/>
    <col min="2461" max="2464" width="10" style="3" customWidth="1"/>
    <col min="2465" max="2465" width="12.796875" style="3" customWidth="1"/>
    <col min="2466" max="2466" width="14.19921875" style="3" customWidth="1"/>
    <col min="2467" max="2467" width="13.53125" style="3" customWidth="1"/>
    <col min="2468" max="2657" width="9.19921875" style="3"/>
    <col min="2658" max="2658" width="5.46484375" style="3" customWidth="1"/>
    <col min="2659" max="2659" width="54.19921875" style="3" customWidth="1"/>
    <col min="2660" max="2660" width="10.46484375" style="3" customWidth="1"/>
    <col min="2661" max="2661" width="10.53125" style="3" customWidth="1"/>
    <col min="2662" max="2664" width="7.796875" style="3" customWidth="1"/>
    <col min="2665" max="2665" width="13.19921875" style="3" customWidth="1"/>
    <col min="2666" max="2666" width="11.53125" style="3" customWidth="1"/>
    <col min="2667" max="2683" width="9.46484375" style="3" customWidth="1"/>
    <col min="2684" max="2684" width="10.53125" style="3" customWidth="1"/>
    <col min="2685" max="2685" width="10" style="3" customWidth="1"/>
    <col min="2686" max="2690" width="9.46484375" style="3" customWidth="1"/>
    <col min="2691" max="2691" width="12.796875" style="3" customWidth="1"/>
    <col min="2692" max="2692" width="10.796875" style="3" customWidth="1"/>
    <col min="2693" max="2693" width="11.19921875" style="3" customWidth="1"/>
    <col min="2694" max="2696" width="9.796875" style="3" customWidth="1"/>
    <col min="2697" max="2698" width="12.46484375" style="3" customWidth="1"/>
    <col min="2699" max="2699" width="12.796875" style="3" customWidth="1"/>
    <col min="2700" max="2700" width="10.53125" style="3" customWidth="1"/>
    <col min="2701" max="2701" width="10" style="3" customWidth="1"/>
    <col min="2702" max="2704" width="10.46484375" style="3" customWidth="1"/>
    <col min="2705" max="2705" width="13" style="3" customWidth="1"/>
    <col min="2706" max="2706" width="12.46484375" style="3" customWidth="1"/>
    <col min="2707" max="2715" width="13" style="3" customWidth="1"/>
    <col min="2716" max="2716" width="11.19921875" style="3" customWidth="1"/>
    <col min="2717" max="2720" width="10" style="3" customWidth="1"/>
    <col min="2721" max="2721" width="12.796875" style="3" customWidth="1"/>
    <col min="2722" max="2722" width="14.19921875" style="3" customWidth="1"/>
    <col min="2723" max="2723" width="13.53125" style="3" customWidth="1"/>
    <col min="2724" max="2913" width="9.19921875" style="3"/>
    <col min="2914" max="2914" width="5.46484375" style="3" customWidth="1"/>
    <col min="2915" max="2915" width="54.19921875" style="3" customWidth="1"/>
    <col min="2916" max="2916" width="10.46484375" style="3" customWidth="1"/>
    <col min="2917" max="2917" width="10.53125" style="3" customWidth="1"/>
    <col min="2918" max="2920" width="7.796875" style="3" customWidth="1"/>
    <col min="2921" max="2921" width="13.19921875" style="3" customWidth="1"/>
    <col min="2922" max="2922" width="11.53125" style="3" customWidth="1"/>
    <col min="2923" max="2939" width="9.46484375" style="3" customWidth="1"/>
    <col min="2940" max="2940" width="10.53125" style="3" customWidth="1"/>
    <col min="2941" max="2941" width="10" style="3" customWidth="1"/>
    <col min="2942" max="2946" width="9.46484375" style="3" customWidth="1"/>
    <col min="2947" max="2947" width="12.796875" style="3" customWidth="1"/>
    <col min="2948" max="2948" width="10.796875" style="3" customWidth="1"/>
    <col min="2949" max="2949" width="11.19921875" style="3" customWidth="1"/>
    <col min="2950" max="2952" width="9.796875" style="3" customWidth="1"/>
    <col min="2953" max="2954" width="12.46484375" style="3" customWidth="1"/>
    <col min="2955" max="2955" width="12.796875" style="3" customWidth="1"/>
    <col min="2956" max="2956" width="10.53125" style="3" customWidth="1"/>
    <col min="2957" max="2957" width="10" style="3" customWidth="1"/>
    <col min="2958" max="2960" width="10.46484375" style="3" customWidth="1"/>
    <col min="2961" max="2961" width="13" style="3" customWidth="1"/>
    <col min="2962" max="2962" width="12.46484375" style="3" customWidth="1"/>
    <col min="2963" max="2971" width="13" style="3" customWidth="1"/>
    <col min="2972" max="2972" width="11.19921875" style="3" customWidth="1"/>
    <col min="2973" max="2976" width="10" style="3" customWidth="1"/>
    <col min="2977" max="2977" width="12.796875" style="3" customWidth="1"/>
    <col min="2978" max="2978" width="14.19921875" style="3" customWidth="1"/>
    <col min="2979" max="2979" width="13.53125" style="3" customWidth="1"/>
    <col min="2980" max="3169" width="9.19921875" style="3"/>
    <col min="3170" max="3170" width="5.46484375" style="3" customWidth="1"/>
    <col min="3171" max="3171" width="54.19921875" style="3" customWidth="1"/>
    <col min="3172" max="3172" width="10.46484375" style="3" customWidth="1"/>
    <col min="3173" max="3173" width="10.53125" style="3" customWidth="1"/>
    <col min="3174" max="3176" width="7.796875" style="3" customWidth="1"/>
    <col min="3177" max="3177" width="13.19921875" style="3" customWidth="1"/>
    <col min="3178" max="3178" width="11.53125" style="3" customWidth="1"/>
    <col min="3179" max="3195" width="9.46484375" style="3" customWidth="1"/>
    <col min="3196" max="3196" width="10.53125" style="3" customWidth="1"/>
    <col min="3197" max="3197" width="10" style="3" customWidth="1"/>
    <col min="3198" max="3202" width="9.46484375" style="3" customWidth="1"/>
    <col min="3203" max="3203" width="12.796875" style="3" customWidth="1"/>
    <col min="3204" max="3204" width="10.796875" style="3" customWidth="1"/>
    <col min="3205" max="3205" width="11.19921875" style="3" customWidth="1"/>
    <col min="3206" max="3208" width="9.796875" style="3" customWidth="1"/>
    <col min="3209" max="3210" width="12.46484375" style="3" customWidth="1"/>
    <col min="3211" max="3211" width="12.796875" style="3" customWidth="1"/>
    <col min="3212" max="3212" width="10.53125" style="3" customWidth="1"/>
    <col min="3213" max="3213" width="10" style="3" customWidth="1"/>
    <col min="3214" max="3216" width="10.46484375" style="3" customWidth="1"/>
    <col min="3217" max="3217" width="13" style="3" customWidth="1"/>
    <col min="3218" max="3218" width="12.46484375" style="3" customWidth="1"/>
    <col min="3219" max="3227" width="13" style="3" customWidth="1"/>
    <col min="3228" max="3228" width="11.19921875" style="3" customWidth="1"/>
    <col min="3229" max="3232" width="10" style="3" customWidth="1"/>
    <col min="3233" max="3233" width="12.796875" style="3" customWidth="1"/>
    <col min="3234" max="3234" width="14.19921875" style="3" customWidth="1"/>
    <col min="3235" max="3235" width="13.53125" style="3" customWidth="1"/>
    <col min="3236" max="3425" width="9.19921875" style="3"/>
    <col min="3426" max="3426" width="5.46484375" style="3" customWidth="1"/>
    <col min="3427" max="3427" width="54.19921875" style="3" customWidth="1"/>
    <col min="3428" max="3428" width="10.46484375" style="3" customWidth="1"/>
    <col min="3429" max="3429" width="10.53125" style="3" customWidth="1"/>
    <col min="3430" max="3432" width="7.796875" style="3" customWidth="1"/>
    <col min="3433" max="3433" width="13.19921875" style="3" customWidth="1"/>
    <col min="3434" max="3434" width="11.53125" style="3" customWidth="1"/>
    <col min="3435" max="3451" width="9.46484375" style="3" customWidth="1"/>
    <col min="3452" max="3452" width="10.53125" style="3" customWidth="1"/>
    <col min="3453" max="3453" width="10" style="3" customWidth="1"/>
    <col min="3454" max="3458" width="9.46484375" style="3" customWidth="1"/>
    <col min="3459" max="3459" width="12.796875" style="3" customWidth="1"/>
    <col min="3460" max="3460" width="10.796875" style="3" customWidth="1"/>
    <col min="3461" max="3461" width="11.19921875" style="3" customWidth="1"/>
    <col min="3462" max="3464" width="9.796875" style="3" customWidth="1"/>
    <col min="3465" max="3466" width="12.46484375" style="3" customWidth="1"/>
    <col min="3467" max="3467" width="12.796875" style="3" customWidth="1"/>
    <col min="3468" max="3468" width="10.53125" style="3" customWidth="1"/>
    <col min="3469" max="3469" width="10" style="3" customWidth="1"/>
    <col min="3470" max="3472" width="10.46484375" style="3" customWidth="1"/>
    <col min="3473" max="3473" width="13" style="3" customWidth="1"/>
    <col min="3474" max="3474" width="12.46484375" style="3" customWidth="1"/>
    <col min="3475" max="3483" width="13" style="3" customWidth="1"/>
    <col min="3484" max="3484" width="11.19921875" style="3" customWidth="1"/>
    <col min="3485" max="3488" width="10" style="3" customWidth="1"/>
    <col min="3489" max="3489" width="12.796875" style="3" customWidth="1"/>
    <col min="3490" max="3490" width="14.19921875" style="3" customWidth="1"/>
    <col min="3491" max="3491" width="13.53125" style="3" customWidth="1"/>
    <col min="3492" max="3681" width="9.19921875" style="3"/>
    <col min="3682" max="3682" width="5.46484375" style="3" customWidth="1"/>
    <col min="3683" max="3683" width="54.19921875" style="3" customWidth="1"/>
    <col min="3684" max="3684" width="10.46484375" style="3" customWidth="1"/>
    <col min="3685" max="3685" width="10.53125" style="3" customWidth="1"/>
    <col min="3686" max="3688" width="7.796875" style="3" customWidth="1"/>
    <col min="3689" max="3689" width="13.19921875" style="3" customWidth="1"/>
    <col min="3690" max="3690" width="11.53125" style="3" customWidth="1"/>
    <col min="3691" max="3707" width="9.46484375" style="3" customWidth="1"/>
    <col min="3708" max="3708" width="10.53125" style="3" customWidth="1"/>
    <col min="3709" max="3709" width="10" style="3" customWidth="1"/>
    <col min="3710" max="3714" width="9.46484375" style="3" customWidth="1"/>
    <col min="3715" max="3715" width="12.796875" style="3" customWidth="1"/>
    <col min="3716" max="3716" width="10.796875" style="3" customWidth="1"/>
    <col min="3717" max="3717" width="11.19921875" style="3" customWidth="1"/>
    <col min="3718" max="3720" width="9.796875" style="3" customWidth="1"/>
    <col min="3721" max="3722" width="12.46484375" style="3" customWidth="1"/>
    <col min="3723" max="3723" width="12.796875" style="3" customWidth="1"/>
    <col min="3724" max="3724" width="10.53125" style="3" customWidth="1"/>
    <col min="3725" max="3725" width="10" style="3" customWidth="1"/>
    <col min="3726" max="3728" width="10.46484375" style="3" customWidth="1"/>
    <col min="3729" max="3729" width="13" style="3" customWidth="1"/>
    <col min="3730" max="3730" width="12.46484375" style="3" customWidth="1"/>
    <col min="3731" max="3739" width="13" style="3" customWidth="1"/>
    <col min="3740" max="3740" width="11.19921875" style="3" customWidth="1"/>
    <col min="3741" max="3744" width="10" style="3" customWidth="1"/>
    <col min="3745" max="3745" width="12.796875" style="3" customWidth="1"/>
    <col min="3746" max="3746" width="14.19921875" style="3" customWidth="1"/>
    <col min="3747" max="3747" width="13.53125" style="3" customWidth="1"/>
    <col min="3748" max="3937" width="9.19921875" style="3"/>
    <col min="3938" max="3938" width="5.46484375" style="3" customWidth="1"/>
    <col min="3939" max="3939" width="54.19921875" style="3" customWidth="1"/>
    <col min="3940" max="3940" width="10.46484375" style="3" customWidth="1"/>
    <col min="3941" max="3941" width="10.53125" style="3" customWidth="1"/>
    <col min="3942" max="3944" width="7.796875" style="3" customWidth="1"/>
    <col min="3945" max="3945" width="13.19921875" style="3" customWidth="1"/>
    <col min="3946" max="3946" width="11.53125" style="3" customWidth="1"/>
    <col min="3947" max="3963" width="9.46484375" style="3" customWidth="1"/>
    <col min="3964" max="3964" width="10.53125" style="3" customWidth="1"/>
    <col min="3965" max="3965" width="10" style="3" customWidth="1"/>
    <col min="3966" max="3970" width="9.46484375" style="3" customWidth="1"/>
    <col min="3971" max="3971" width="12.796875" style="3" customWidth="1"/>
    <col min="3972" max="3972" width="10.796875" style="3" customWidth="1"/>
    <col min="3973" max="3973" width="11.19921875" style="3" customWidth="1"/>
    <col min="3974" max="3976" width="9.796875" style="3" customWidth="1"/>
    <col min="3977" max="3978" width="12.46484375" style="3" customWidth="1"/>
    <col min="3979" max="3979" width="12.796875" style="3" customWidth="1"/>
    <col min="3980" max="3980" width="10.53125" style="3" customWidth="1"/>
    <col min="3981" max="3981" width="10" style="3" customWidth="1"/>
    <col min="3982" max="3984" width="10.46484375" style="3" customWidth="1"/>
    <col min="3985" max="3985" width="13" style="3" customWidth="1"/>
    <col min="3986" max="3986" width="12.46484375" style="3" customWidth="1"/>
    <col min="3987" max="3995" width="13" style="3" customWidth="1"/>
    <col min="3996" max="3996" width="11.19921875" style="3" customWidth="1"/>
    <col min="3997" max="4000" width="10" style="3" customWidth="1"/>
    <col min="4001" max="4001" width="12.796875" style="3" customWidth="1"/>
    <col min="4002" max="4002" width="14.19921875" style="3" customWidth="1"/>
    <col min="4003" max="4003" width="13.53125" style="3" customWidth="1"/>
    <col min="4004" max="4193" width="9.19921875" style="3"/>
    <col min="4194" max="4194" width="5.46484375" style="3" customWidth="1"/>
    <col min="4195" max="4195" width="54.19921875" style="3" customWidth="1"/>
    <col min="4196" max="4196" width="10.46484375" style="3" customWidth="1"/>
    <col min="4197" max="4197" width="10.53125" style="3" customWidth="1"/>
    <col min="4198" max="4200" width="7.796875" style="3" customWidth="1"/>
    <col min="4201" max="4201" width="13.19921875" style="3" customWidth="1"/>
    <col min="4202" max="4202" width="11.53125" style="3" customWidth="1"/>
    <col min="4203" max="4219" width="9.46484375" style="3" customWidth="1"/>
    <col min="4220" max="4220" width="10.53125" style="3" customWidth="1"/>
    <col min="4221" max="4221" width="10" style="3" customWidth="1"/>
    <col min="4222" max="4226" width="9.46484375" style="3" customWidth="1"/>
    <col min="4227" max="4227" width="12.796875" style="3" customWidth="1"/>
    <col min="4228" max="4228" width="10.796875" style="3" customWidth="1"/>
    <col min="4229" max="4229" width="11.19921875" style="3" customWidth="1"/>
    <col min="4230" max="4232" width="9.796875" style="3" customWidth="1"/>
    <col min="4233" max="4234" width="12.46484375" style="3" customWidth="1"/>
    <col min="4235" max="4235" width="12.796875" style="3" customWidth="1"/>
    <col min="4236" max="4236" width="10.53125" style="3" customWidth="1"/>
    <col min="4237" max="4237" width="10" style="3" customWidth="1"/>
    <col min="4238" max="4240" width="10.46484375" style="3" customWidth="1"/>
    <col min="4241" max="4241" width="13" style="3" customWidth="1"/>
    <col min="4242" max="4242" width="12.46484375" style="3" customWidth="1"/>
    <col min="4243" max="4251" width="13" style="3" customWidth="1"/>
    <col min="4252" max="4252" width="11.19921875" style="3" customWidth="1"/>
    <col min="4253" max="4256" width="10" style="3" customWidth="1"/>
    <col min="4257" max="4257" width="12.796875" style="3" customWidth="1"/>
    <col min="4258" max="4258" width="14.19921875" style="3" customWidth="1"/>
    <col min="4259" max="4259" width="13.53125" style="3" customWidth="1"/>
    <col min="4260" max="4449" width="9.19921875" style="3"/>
    <col min="4450" max="4450" width="5.46484375" style="3" customWidth="1"/>
    <col min="4451" max="4451" width="54.19921875" style="3" customWidth="1"/>
    <col min="4452" max="4452" width="10.46484375" style="3" customWidth="1"/>
    <col min="4453" max="4453" width="10.53125" style="3" customWidth="1"/>
    <col min="4454" max="4456" width="7.796875" style="3" customWidth="1"/>
    <col min="4457" max="4457" width="13.19921875" style="3" customWidth="1"/>
    <col min="4458" max="4458" width="11.53125" style="3" customWidth="1"/>
    <col min="4459" max="4475" width="9.46484375" style="3" customWidth="1"/>
    <col min="4476" max="4476" width="10.53125" style="3" customWidth="1"/>
    <col min="4477" max="4477" width="10" style="3" customWidth="1"/>
    <col min="4478" max="4482" width="9.46484375" style="3" customWidth="1"/>
    <col min="4483" max="4483" width="12.796875" style="3" customWidth="1"/>
    <col min="4484" max="4484" width="10.796875" style="3" customWidth="1"/>
    <col min="4485" max="4485" width="11.19921875" style="3" customWidth="1"/>
    <col min="4486" max="4488" width="9.796875" style="3" customWidth="1"/>
    <col min="4489" max="4490" width="12.46484375" style="3" customWidth="1"/>
    <col min="4491" max="4491" width="12.796875" style="3" customWidth="1"/>
    <col min="4492" max="4492" width="10.53125" style="3" customWidth="1"/>
    <col min="4493" max="4493" width="10" style="3" customWidth="1"/>
    <col min="4494" max="4496" width="10.46484375" style="3" customWidth="1"/>
    <col min="4497" max="4497" width="13" style="3" customWidth="1"/>
    <col min="4498" max="4498" width="12.46484375" style="3" customWidth="1"/>
    <col min="4499" max="4507" width="13" style="3" customWidth="1"/>
    <col min="4508" max="4508" width="11.19921875" style="3" customWidth="1"/>
    <col min="4509" max="4512" width="10" style="3" customWidth="1"/>
    <col min="4513" max="4513" width="12.796875" style="3" customWidth="1"/>
    <col min="4514" max="4514" width="14.19921875" style="3" customWidth="1"/>
    <col min="4515" max="4515" width="13.53125" style="3" customWidth="1"/>
    <col min="4516" max="4705" width="9.19921875" style="3"/>
    <col min="4706" max="4706" width="5.46484375" style="3" customWidth="1"/>
    <col min="4707" max="4707" width="54.19921875" style="3" customWidth="1"/>
    <col min="4708" max="4708" width="10.46484375" style="3" customWidth="1"/>
    <col min="4709" max="4709" width="10.53125" style="3" customWidth="1"/>
    <col min="4710" max="4712" width="7.796875" style="3" customWidth="1"/>
    <col min="4713" max="4713" width="13.19921875" style="3" customWidth="1"/>
    <col min="4714" max="4714" width="11.53125" style="3" customWidth="1"/>
    <col min="4715" max="4731" width="9.46484375" style="3" customWidth="1"/>
    <col min="4732" max="4732" width="10.53125" style="3" customWidth="1"/>
    <col min="4733" max="4733" width="10" style="3" customWidth="1"/>
    <col min="4734" max="4738" width="9.46484375" style="3" customWidth="1"/>
    <col min="4739" max="4739" width="12.796875" style="3" customWidth="1"/>
    <col min="4740" max="4740" width="10.796875" style="3" customWidth="1"/>
    <col min="4741" max="4741" width="11.19921875" style="3" customWidth="1"/>
    <col min="4742" max="4744" width="9.796875" style="3" customWidth="1"/>
    <col min="4745" max="4746" width="12.46484375" style="3" customWidth="1"/>
    <col min="4747" max="4747" width="12.796875" style="3" customWidth="1"/>
    <col min="4748" max="4748" width="10.53125" style="3" customWidth="1"/>
    <col min="4749" max="4749" width="10" style="3" customWidth="1"/>
    <col min="4750" max="4752" width="10.46484375" style="3" customWidth="1"/>
    <col min="4753" max="4753" width="13" style="3" customWidth="1"/>
    <col min="4754" max="4754" width="12.46484375" style="3" customWidth="1"/>
    <col min="4755" max="4763" width="13" style="3" customWidth="1"/>
    <col min="4764" max="4764" width="11.19921875" style="3" customWidth="1"/>
    <col min="4765" max="4768" width="10" style="3" customWidth="1"/>
    <col min="4769" max="4769" width="12.796875" style="3" customWidth="1"/>
    <col min="4770" max="4770" width="14.19921875" style="3" customWidth="1"/>
    <col min="4771" max="4771" width="13.53125" style="3" customWidth="1"/>
    <col min="4772" max="4961" width="9.19921875" style="3"/>
    <col min="4962" max="4962" width="5.46484375" style="3" customWidth="1"/>
    <col min="4963" max="4963" width="54.19921875" style="3" customWidth="1"/>
    <col min="4964" max="4964" width="10.46484375" style="3" customWidth="1"/>
    <col min="4965" max="4965" width="10.53125" style="3" customWidth="1"/>
    <col min="4966" max="4968" width="7.796875" style="3" customWidth="1"/>
    <col min="4969" max="4969" width="13.19921875" style="3" customWidth="1"/>
    <col min="4970" max="4970" width="11.53125" style="3" customWidth="1"/>
    <col min="4971" max="4987" width="9.46484375" style="3" customWidth="1"/>
    <col min="4988" max="4988" width="10.53125" style="3" customWidth="1"/>
    <col min="4989" max="4989" width="10" style="3" customWidth="1"/>
    <col min="4990" max="4994" width="9.46484375" style="3" customWidth="1"/>
    <col min="4995" max="4995" width="12.796875" style="3" customWidth="1"/>
    <col min="4996" max="4996" width="10.796875" style="3" customWidth="1"/>
    <col min="4997" max="4997" width="11.19921875" style="3" customWidth="1"/>
    <col min="4998" max="5000" width="9.796875" style="3" customWidth="1"/>
    <col min="5001" max="5002" width="12.46484375" style="3" customWidth="1"/>
    <col min="5003" max="5003" width="12.796875" style="3" customWidth="1"/>
    <col min="5004" max="5004" width="10.53125" style="3" customWidth="1"/>
    <col min="5005" max="5005" width="10" style="3" customWidth="1"/>
    <col min="5006" max="5008" width="10.46484375" style="3" customWidth="1"/>
    <col min="5009" max="5009" width="13" style="3" customWidth="1"/>
    <col min="5010" max="5010" width="12.46484375" style="3" customWidth="1"/>
    <col min="5011" max="5019" width="13" style="3" customWidth="1"/>
    <col min="5020" max="5020" width="11.19921875" style="3" customWidth="1"/>
    <col min="5021" max="5024" width="10" style="3" customWidth="1"/>
    <col min="5025" max="5025" width="12.796875" style="3" customWidth="1"/>
    <col min="5026" max="5026" width="14.19921875" style="3" customWidth="1"/>
    <col min="5027" max="5027" width="13.53125" style="3" customWidth="1"/>
    <col min="5028" max="5217" width="9.19921875" style="3"/>
    <col min="5218" max="5218" width="5.46484375" style="3" customWidth="1"/>
    <col min="5219" max="5219" width="54.19921875" style="3" customWidth="1"/>
    <col min="5220" max="5220" width="10.46484375" style="3" customWidth="1"/>
    <col min="5221" max="5221" width="10.53125" style="3" customWidth="1"/>
    <col min="5222" max="5224" width="7.796875" style="3" customWidth="1"/>
    <col min="5225" max="5225" width="13.19921875" style="3" customWidth="1"/>
    <col min="5226" max="5226" width="11.53125" style="3" customWidth="1"/>
    <col min="5227" max="5243" width="9.46484375" style="3" customWidth="1"/>
    <col min="5244" max="5244" width="10.53125" style="3" customWidth="1"/>
    <col min="5245" max="5245" width="10" style="3" customWidth="1"/>
    <col min="5246" max="5250" width="9.46484375" style="3" customWidth="1"/>
    <col min="5251" max="5251" width="12.796875" style="3" customWidth="1"/>
    <col min="5252" max="5252" width="10.796875" style="3" customWidth="1"/>
    <col min="5253" max="5253" width="11.19921875" style="3" customWidth="1"/>
    <col min="5254" max="5256" width="9.796875" style="3" customWidth="1"/>
    <col min="5257" max="5258" width="12.46484375" style="3" customWidth="1"/>
    <col min="5259" max="5259" width="12.796875" style="3" customWidth="1"/>
    <col min="5260" max="5260" width="10.53125" style="3" customWidth="1"/>
    <col min="5261" max="5261" width="10" style="3" customWidth="1"/>
    <col min="5262" max="5264" width="10.46484375" style="3" customWidth="1"/>
    <col min="5265" max="5265" width="13" style="3" customWidth="1"/>
    <col min="5266" max="5266" width="12.46484375" style="3" customWidth="1"/>
    <col min="5267" max="5275" width="13" style="3" customWidth="1"/>
    <col min="5276" max="5276" width="11.19921875" style="3" customWidth="1"/>
    <col min="5277" max="5280" width="10" style="3" customWidth="1"/>
    <col min="5281" max="5281" width="12.796875" style="3" customWidth="1"/>
    <col min="5282" max="5282" width="14.19921875" style="3" customWidth="1"/>
    <col min="5283" max="5283" width="13.53125" style="3" customWidth="1"/>
    <col min="5284" max="5473" width="9.19921875" style="3"/>
    <col min="5474" max="5474" width="5.46484375" style="3" customWidth="1"/>
    <col min="5475" max="5475" width="54.19921875" style="3" customWidth="1"/>
    <col min="5476" max="5476" width="10.46484375" style="3" customWidth="1"/>
    <col min="5477" max="5477" width="10.53125" style="3" customWidth="1"/>
    <col min="5478" max="5480" width="7.796875" style="3" customWidth="1"/>
    <col min="5481" max="5481" width="13.19921875" style="3" customWidth="1"/>
    <col min="5482" max="5482" width="11.53125" style="3" customWidth="1"/>
    <col min="5483" max="5499" width="9.46484375" style="3" customWidth="1"/>
    <col min="5500" max="5500" width="10.53125" style="3" customWidth="1"/>
    <col min="5501" max="5501" width="10" style="3" customWidth="1"/>
    <col min="5502" max="5506" width="9.46484375" style="3" customWidth="1"/>
    <col min="5507" max="5507" width="12.796875" style="3" customWidth="1"/>
    <col min="5508" max="5508" width="10.796875" style="3" customWidth="1"/>
    <col min="5509" max="5509" width="11.19921875" style="3" customWidth="1"/>
    <col min="5510" max="5512" width="9.796875" style="3" customWidth="1"/>
    <col min="5513" max="5514" width="12.46484375" style="3" customWidth="1"/>
    <col min="5515" max="5515" width="12.796875" style="3" customWidth="1"/>
    <col min="5516" max="5516" width="10.53125" style="3" customWidth="1"/>
    <col min="5517" max="5517" width="10" style="3" customWidth="1"/>
    <col min="5518" max="5520" width="10.46484375" style="3" customWidth="1"/>
    <col min="5521" max="5521" width="13" style="3" customWidth="1"/>
    <col min="5522" max="5522" width="12.46484375" style="3" customWidth="1"/>
    <col min="5523" max="5531" width="13" style="3" customWidth="1"/>
    <col min="5532" max="5532" width="11.19921875" style="3" customWidth="1"/>
    <col min="5533" max="5536" width="10" style="3" customWidth="1"/>
    <col min="5537" max="5537" width="12.796875" style="3" customWidth="1"/>
    <col min="5538" max="5538" width="14.19921875" style="3" customWidth="1"/>
    <col min="5539" max="5539" width="13.53125" style="3" customWidth="1"/>
    <col min="5540" max="5729" width="9.19921875" style="3"/>
    <col min="5730" max="5730" width="5.46484375" style="3" customWidth="1"/>
    <col min="5731" max="5731" width="54.19921875" style="3" customWidth="1"/>
    <col min="5732" max="5732" width="10.46484375" style="3" customWidth="1"/>
    <col min="5733" max="5733" width="10.53125" style="3" customWidth="1"/>
    <col min="5734" max="5736" width="7.796875" style="3" customWidth="1"/>
    <col min="5737" max="5737" width="13.19921875" style="3" customWidth="1"/>
    <col min="5738" max="5738" width="11.53125" style="3" customWidth="1"/>
    <col min="5739" max="5755" width="9.46484375" style="3" customWidth="1"/>
    <col min="5756" max="5756" width="10.53125" style="3" customWidth="1"/>
    <col min="5757" max="5757" width="10" style="3" customWidth="1"/>
    <col min="5758" max="5762" width="9.46484375" style="3" customWidth="1"/>
    <col min="5763" max="5763" width="12.796875" style="3" customWidth="1"/>
    <col min="5764" max="5764" width="10.796875" style="3" customWidth="1"/>
    <col min="5765" max="5765" width="11.19921875" style="3" customWidth="1"/>
    <col min="5766" max="5768" width="9.796875" style="3" customWidth="1"/>
    <col min="5769" max="5770" width="12.46484375" style="3" customWidth="1"/>
    <col min="5771" max="5771" width="12.796875" style="3" customWidth="1"/>
    <col min="5772" max="5772" width="10.53125" style="3" customWidth="1"/>
    <col min="5773" max="5773" width="10" style="3" customWidth="1"/>
    <col min="5774" max="5776" width="10.46484375" style="3" customWidth="1"/>
    <col min="5777" max="5777" width="13" style="3" customWidth="1"/>
    <col min="5778" max="5778" width="12.46484375" style="3" customWidth="1"/>
    <col min="5779" max="5787" width="13" style="3" customWidth="1"/>
    <col min="5788" max="5788" width="11.19921875" style="3" customWidth="1"/>
    <col min="5789" max="5792" width="10" style="3" customWidth="1"/>
    <col min="5793" max="5793" width="12.796875" style="3" customWidth="1"/>
    <col min="5794" max="5794" width="14.19921875" style="3" customWidth="1"/>
    <col min="5795" max="5795" width="13.53125" style="3" customWidth="1"/>
    <col min="5796" max="5985" width="9.19921875" style="3"/>
    <col min="5986" max="5986" width="5.46484375" style="3" customWidth="1"/>
    <col min="5987" max="5987" width="54.19921875" style="3" customWidth="1"/>
    <col min="5988" max="5988" width="10.46484375" style="3" customWidth="1"/>
    <col min="5989" max="5989" width="10.53125" style="3" customWidth="1"/>
    <col min="5990" max="5992" width="7.796875" style="3" customWidth="1"/>
    <col min="5993" max="5993" width="13.19921875" style="3" customWidth="1"/>
    <col min="5994" max="5994" width="11.53125" style="3" customWidth="1"/>
    <col min="5995" max="6011" width="9.46484375" style="3" customWidth="1"/>
    <col min="6012" max="6012" width="10.53125" style="3" customWidth="1"/>
    <col min="6013" max="6013" width="10" style="3" customWidth="1"/>
    <col min="6014" max="6018" width="9.46484375" style="3" customWidth="1"/>
    <col min="6019" max="6019" width="12.796875" style="3" customWidth="1"/>
    <col min="6020" max="6020" width="10.796875" style="3" customWidth="1"/>
    <col min="6021" max="6021" width="11.19921875" style="3" customWidth="1"/>
    <col min="6022" max="6024" width="9.796875" style="3" customWidth="1"/>
    <col min="6025" max="6026" width="12.46484375" style="3" customWidth="1"/>
    <col min="6027" max="6027" width="12.796875" style="3" customWidth="1"/>
    <col min="6028" max="6028" width="10.53125" style="3" customWidth="1"/>
    <col min="6029" max="6029" width="10" style="3" customWidth="1"/>
    <col min="6030" max="6032" width="10.46484375" style="3" customWidth="1"/>
    <col min="6033" max="6033" width="13" style="3" customWidth="1"/>
    <col min="6034" max="6034" width="12.46484375" style="3" customWidth="1"/>
    <col min="6035" max="6043" width="13" style="3" customWidth="1"/>
    <col min="6044" max="6044" width="11.19921875" style="3" customWidth="1"/>
    <col min="6045" max="6048" width="10" style="3" customWidth="1"/>
    <col min="6049" max="6049" width="12.796875" style="3" customWidth="1"/>
    <col min="6050" max="6050" width="14.19921875" style="3" customWidth="1"/>
    <col min="6051" max="6051" width="13.53125" style="3" customWidth="1"/>
    <col min="6052" max="6241" width="9.19921875" style="3"/>
    <col min="6242" max="6242" width="5.46484375" style="3" customWidth="1"/>
    <col min="6243" max="6243" width="54.19921875" style="3" customWidth="1"/>
    <col min="6244" max="6244" width="10.46484375" style="3" customWidth="1"/>
    <col min="6245" max="6245" width="10.53125" style="3" customWidth="1"/>
    <col min="6246" max="6248" width="7.796875" style="3" customWidth="1"/>
    <col min="6249" max="6249" width="13.19921875" style="3" customWidth="1"/>
    <col min="6250" max="6250" width="11.53125" style="3" customWidth="1"/>
    <col min="6251" max="6267" width="9.46484375" style="3" customWidth="1"/>
    <col min="6268" max="6268" width="10.53125" style="3" customWidth="1"/>
    <col min="6269" max="6269" width="10" style="3" customWidth="1"/>
    <col min="6270" max="6274" width="9.46484375" style="3" customWidth="1"/>
    <col min="6275" max="6275" width="12.796875" style="3" customWidth="1"/>
    <col min="6276" max="6276" width="10.796875" style="3" customWidth="1"/>
    <col min="6277" max="6277" width="11.19921875" style="3" customWidth="1"/>
    <col min="6278" max="6280" width="9.796875" style="3" customWidth="1"/>
    <col min="6281" max="6282" width="12.46484375" style="3" customWidth="1"/>
    <col min="6283" max="6283" width="12.796875" style="3" customWidth="1"/>
    <col min="6284" max="6284" width="10.53125" style="3" customWidth="1"/>
    <col min="6285" max="6285" width="10" style="3" customWidth="1"/>
    <col min="6286" max="6288" width="10.46484375" style="3" customWidth="1"/>
    <col min="6289" max="6289" width="13" style="3" customWidth="1"/>
    <col min="6290" max="6290" width="12.46484375" style="3" customWidth="1"/>
    <col min="6291" max="6299" width="13" style="3" customWidth="1"/>
    <col min="6300" max="6300" width="11.19921875" style="3" customWidth="1"/>
    <col min="6301" max="6304" width="10" style="3" customWidth="1"/>
    <col min="6305" max="6305" width="12.796875" style="3" customWidth="1"/>
    <col min="6306" max="6306" width="14.19921875" style="3" customWidth="1"/>
    <col min="6307" max="6307" width="13.53125" style="3" customWidth="1"/>
    <col min="6308" max="6497" width="9.19921875" style="3"/>
    <col min="6498" max="6498" width="5.46484375" style="3" customWidth="1"/>
    <col min="6499" max="6499" width="54.19921875" style="3" customWidth="1"/>
    <col min="6500" max="6500" width="10.46484375" style="3" customWidth="1"/>
    <col min="6501" max="6501" width="10.53125" style="3" customWidth="1"/>
    <col min="6502" max="6504" width="7.796875" style="3" customWidth="1"/>
    <col min="6505" max="6505" width="13.19921875" style="3" customWidth="1"/>
    <col min="6506" max="6506" width="11.53125" style="3" customWidth="1"/>
    <col min="6507" max="6523" width="9.46484375" style="3" customWidth="1"/>
    <col min="6524" max="6524" width="10.53125" style="3" customWidth="1"/>
    <col min="6525" max="6525" width="10" style="3" customWidth="1"/>
    <col min="6526" max="6530" width="9.46484375" style="3" customWidth="1"/>
    <col min="6531" max="6531" width="12.796875" style="3" customWidth="1"/>
    <col min="6532" max="6532" width="10.796875" style="3" customWidth="1"/>
    <col min="6533" max="6533" width="11.19921875" style="3" customWidth="1"/>
    <col min="6534" max="6536" width="9.796875" style="3" customWidth="1"/>
    <col min="6537" max="6538" width="12.46484375" style="3" customWidth="1"/>
    <col min="6539" max="6539" width="12.796875" style="3" customWidth="1"/>
    <col min="6540" max="6540" width="10.53125" style="3" customWidth="1"/>
    <col min="6541" max="6541" width="10" style="3" customWidth="1"/>
    <col min="6542" max="6544" width="10.46484375" style="3" customWidth="1"/>
    <col min="6545" max="6545" width="13" style="3" customWidth="1"/>
    <col min="6546" max="6546" width="12.46484375" style="3" customWidth="1"/>
    <col min="6547" max="6555" width="13" style="3" customWidth="1"/>
    <col min="6556" max="6556" width="11.19921875" style="3" customWidth="1"/>
    <col min="6557" max="6560" width="10" style="3" customWidth="1"/>
    <col min="6561" max="6561" width="12.796875" style="3" customWidth="1"/>
    <col min="6562" max="6562" width="14.19921875" style="3" customWidth="1"/>
    <col min="6563" max="6563" width="13.53125" style="3" customWidth="1"/>
    <col min="6564" max="6753" width="9.19921875" style="3"/>
    <col min="6754" max="6754" width="5.46484375" style="3" customWidth="1"/>
    <col min="6755" max="6755" width="54.19921875" style="3" customWidth="1"/>
    <col min="6756" max="6756" width="10.46484375" style="3" customWidth="1"/>
    <col min="6757" max="6757" width="10.53125" style="3" customWidth="1"/>
    <col min="6758" max="6760" width="7.796875" style="3" customWidth="1"/>
    <col min="6761" max="6761" width="13.19921875" style="3" customWidth="1"/>
    <col min="6762" max="6762" width="11.53125" style="3" customWidth="1"/>
    <col min="6763" max="6779" width="9.46484375" style="3" customWidth="1"/>
    <col min="6780" max="6780" width="10.53125" style="3" customWidth="1"/>
    <col min="6781" max="6781" width="10" style="3" customWidth="1"/>
    <col min="6782" max="6786" width="9.46484375" style="3" customWidth="1"/>
    <col min="6787" max="6787" width="12.796875" style="3" customWidth="1"/>
    <col min="6788" max="6788" width="10.796875" style="3" customWidth="1"/>
    <col min="6789" max="6789" width="11.19921875" style="3" customWidth="1"/>
    <col min="6790" max="6792" width="9.796875" style="3" customWidth="1"/>
    <col min="6793" max="6794" width="12.46484375" style="3" customWidth="1"/>
    <col min="6795" max="6795" width="12.796875" style="3" customWidth="1"/>
    <col min="6796" max="6796" width="10.53125" style="3" customWidth="1"/>
    <col min="6797" max="6797" width="10" style="3" customWidth="1"/>
    <col min="6798" max="6800" width="10.46484375" style="3" customWidth="1"/>
    <col min="6801" max="6801" width="13" style="3" customWidth="1"/>
    <col min="6802" max="6802" width="12.46484375" style="3" customWidth="1"/>
    <col min="6803" max="6811" width="13" style="3" customWidth="1"/>
    <col min="6812" max="6812" width="11.19921875" style="3" customWidth="1"/>
    <col min="6813" max="6816" width="10" style="3" customWidth="1"/>
    <col min="6817" max="6817" width="12.796875" style="3" customWidth="1"/>
    <col min="6818" max="6818" width="14.19921875" style="3" customWidth="1"/>
    <col min="6819" max="6819" width="13.53125" style="3" customWidth="1"/>
    <col min="6820" max="7009" width="9.19921875" style="3"/>
    <col min="7010" max="7010" width="5.46484375" style="3" customWidth="1"/>
    <col min="7011" max="7011" width="54.19921875" style="3" customWidth="1"/>
    <col min="7012" max="7012" width="10.46484375" style="3" customWidth="1"/>
    <col min="7013" max="7013" width="10.53125" style="3" customWidth="1"/>
    <col min="7014" max="7016" width="7.796875" style="3" customWidth="1"/>
    <col min="7017" max="7017" width="13.19921875" style="3" customWidth="1"/>
    <col min="7018" max="7018" width="11.53125" style="3" customWidth="1"/>
    <col min="7019" max="7035" width="9.46484375" style="3" customWidth="1"/>
    <col min="7036" max="7036" width="10.53125" style="3" customWidth="1"/>
    <col min="7037" max="7037" width="10" style="3" customWidth="1"/>
    <col min="7038" max="7042" width="9.46484375" style="3" customWidth="1"/>
    <col min="7043" max="7043" width="12.796875" style="3" customWidth="1"/>
    <col min="7044" max="7044" width="10.796875" style="3" customWidth="1"/>
    <col min="7045" max="7045" width="11.19921875" style="3" customWidth="1"/>
    <col min="7046" max="7048" width="9.796875" style="3" customWidth="1"/>
    <col min="7049" max="7050" width="12.46484375" style="3" customWidth="1"/>
    <col min="7051" max="7051" width="12.796875" style="3" customWidth="1"/>
    <col min="7052" max="7052" width="10.53125" style="3" customWidth="1"/>
    <col min="7053" max="7053" width="10" style="3" customWidth="1"/>
    <col min="7054" max="7056" width="10.46484375" style="3" customWidth="1"/>
    <col min="7057" max="7057" width="13" style="3" customWidth="1"/>
    <col min="7058" max="7058" width="12.46484375" style="3" customWidth="1"/>
    <col min="7059" max="7067" width="13" style="3" customWidth="1"/>
    <col min="7068" max="7068" width="11.19921875" style="3" customWidth="1"/>
    <col min="7069" max="7072" width="10" style="3" customWidth="1"/>
    <col min="7073" max="7073" width="12.796875" style="3" customWidth="1"/>
    <col min="7074" max="7074" width="14.19921875" style="3" customWidth="1"/>
    <col min="7075" max="7075" width="13.53125" style="3" customWidth="1"/>
    <col min="7076" max="7265" width="9.19921875" style="3"/>
    <col min="7266" max="7266" width="5.46484375" style="3" customWidth="1"/>
    <col min="7267" max="7267" width="54.19921875" style="3" customWidth="1"/>
    <col min="7268" max="7268" width="10.46484375" style="3" customWidth="1"/>
    <col min="7269" max="7269" width="10.53125" style="3" customWidth="1"/>
    <col min="7270" max="7272" width="7.796875" style="3" customWidth="1"/>
    <col min="7273" max="7273" width="13.19921875" style="3" customWidth="1"/>
    <col min="7274" max="7274" width="11.53125" style="3" customWidth="1"/>
    <col min="7275" max="7291" width="9.46484375" style="3" customWidth="1"/>
    <col min="7292" max="7292" width="10.53125" style="3" customWidth="1"/>
    <col min="7293" max="7293" width="10" style="3" customWidth="1"/>
    <col min="7294" max="7298" width="9.46484375" style="3" customWidth="1"/>
    <col min="7299" max="7299" width="12.796875" style="3" customWidth="1"/>
    <col min="7300" max="7300" width="10.796875" style="3" customWidth="1"/>
    <col min="7301" max="7301" width="11.19921875" style="3" customWidth="1"/>
    <col min="7302" max="7304" width="9.796875" style="3" customWidth="1"/>
    <col min="7305" max="7306" width="12.46484375" style="3" customWidth="1"/>
    <col min="7307" max="7307" width="12.796875" style="3" customWidth="1"/>
    <col min="7308" max="7308" width="10.53125" style="3" customWidth="1"/>
    <col min="7309" max="7309" width="10" style="3" customWidth="1"/>
    <col min="7310" max="7312" width="10.46484375" style="3" customWidth="1"/>
    <col min="7313" max="7313" width="13" style="3" customWidth="1"/>
    <col min="7314" max="7314" width="12.46484375" style="3" customWidth="1"/>
    <col min="7315" max="7323" width="13" style="3" customWidth="1"/>
    <col min="7324" max="7324" width="11.19921875" style="3" customWidth="1"/>
    <col min="7325" max="7328" width="10" style="3" customWidth="1"/>
    <col min="7329" max="7329" width="12.796875" style="3" customWidth="1"/>
    <col min="7330" max="7330" width="14.19921875" style="3" customWidth="1"/>
    <col min="7331" max="7331" width="13.53125" style="3" customWidth="1"/>
    <col min="7332" max="7521" width="9.19921875" style="3"/>
    <col min="7522" max="7522" width="5.46484375" style="3" customWidth="1"/>
    <col min="7523" max="7523" width="54.19921875" style="3" customWidth="1"/>
    <col min="7524" max="7524" width="10.46484375" style="3" customWidth="1"/>
    <col min="7525" max="7525" width="10.53125" style="3" customWidth="1"/>
    <col min="7526" max="7528" width="7.796875" style="3" customWidth="1"/>
    <col min="7529" max="7529" width="13.19921875" style="3" customWidth="1"/>
    <col min="7530" max="7530" width="11.53125" style="3" customWidth="1"/>
    <col min="7531" max="7547" width="9.46484375" style="3" customWidth="1"/>
    <col min="7548" max="7548" width="10.53125" style="3" customWidth="1"/>
    <col min="7549" max="7549" width="10" style="3" customWidth="1"/>
    <col min="7550" max="7554" width="9.46484375" style="3" customWidth="1"/>
    <col min="7555" max="7555" width="12.796875" style="3" customWidth="1"/>
    <col min="7556" max="7556" width="10.796875" style="3" customWidth="1"/>
    <col min="7557" max="7557" width="11.19921875" style="3" customWidth="1"/>
    <col min="7558" max="7560" width="9.796875" style="3" customWidth="1"/>
    <col min="7561" max="7562" width="12.46484375" style="3" customWidth="1"/>
    <col min="7563" max="7563" width="12.796875" style="3" customWidth="1"/>
    <col min="7564" max="7564" width="10.53125" style="3" customWidth="1"/>
    <col min="7565" max="7565" width="10" style="3" customWidth="1"/>
    <col min="7566" max="7568" width="10.46484375" style="3" customWidth="1"/>
    <col min="7569" max="7569" width="13" style="3" customWidth="1"/>
    <col min="7570" max="7570" width="12.46484375" style="3" customWidth="1"/>
    <col min="7571" max="7579" width="13" style="3" customWidth="1"/>
    <col min="7580" max="7580" width="11.19921875" style="3" customWidth="1"/>
    <col min="7581" max="7584" width="10" style="3" customWidth="1"/>
    <col min="7585" max="7585" width="12.796875" style="3" customWidth="1"/>
    <col min="7586" max="7586" width="14.19921875" style="3" customWidth="1"/>
    <col min="7587" max="7587" width="13.53125" style="3" customWidth="1"/>
    <col min="7588" max="7777" width="9.19921875" style="3"/>
    <col min="7778" max="7778" width="5.46484375" style="3" customWidth="1"/>
    <col min="7779" max="7779" width="54.19921875" style="3" customWidth="1"/>
    <col min="7780" max="7780" width="10.46484375" style="3" customWidth="1"/>
    <col min="7781" max="7781" width="10.53125" style="3" customWidth="1"/>
    <col min="7782" max="7784" width="7.796875" style="3" customWidth="1"/>
    <col min="7785" max="7785" width="13.19921875" style="3" customWidth="1"/>
    <col min="7786" max="7786" width="11.53125" style="3" customWidth="1"/>
    <col min="7787" max="7803" width="9.46484375" style="3" customWidth="1"/>
    <col min="7804" max="7804" width="10.53125" style="3" customWidth="1"/>
    <col min="7805" max="7805" width="10" style="3" customWidth="1"/>
    <col min="7806" max="7810" width="9.46484375" style="3" customWidth="1"/>
    <col min="7811" max="7811" width="12.796875" style="3" customWidth="1"/>
    <col min="7812" max="7812" width="10.796875" style="3" customWidth="1"/>
    <col min="7813" max="7813" width="11.19921875" style="3" customWidth="1"/>
    <col min="7814" max="7816" width="9.796875" style="3" customWidth="1"/>
    <col min="7817" max="7818" width="12.46484375" style="3" customWidth="1"/>
    <col min="7819" max="7819" width="12.796875" style="3" customWidth="1"/>
    <col min="7820" max="7820" width="10.53125" style="3" customWidth="1"/>
    <col min="7821" max="7821" width="10" style="3" customWidth="1"/>
    <col min="7822" max="7824" width="10.46484375" style="3" customWidth="1"/>
    <col min="7825" max="7825" width="13" style="3" customWidth="1"/>
    <col min="7826" max="7826" width="12.46484375" style="3" customWidth="1"/>
    <col min="7827" max="7835" width="13" style="3" customWidth="1"/>
    <col min="7836" max="7836" width="11.19921875" style="3" customWidth="1"/>
    <col min="7837" max="7840" width="10" style="3" customWidth="1"/>
    <col min="7841" max="7841" width="12.796875" style="3" customWidth="1"/>
    <col min="7842" max="7842" width="14.19921875" style="3" customWidth="1"/>
    <col min="7843" max="7843" width="13.53125" style="3" customWidth="1"/>
    <col min="7844" max="8033" width="9.19921875" style="3"/>
    <col min="8034" max="8034" width="5.46484375" style="3" customWidth="1"/>
    <col min="8035" max="8035" width="54.19921875" style="3" customWidth="1"/>
    <col min="8036" max="8036" width="10.46484375" style="3" customWidth="1"/>
    <col min="8037" max="8037" width="10.53125" style="3" customWidth="1"/>
    <col min="8038" max="8040" width="7.796875" style="3" customWidth="1"/>
    <col min="8041" max="8041" width="13.19921875" style="3" customWidth="1"/>
    <col min="8042" max="8042" width="11.53125" style="3" customWidth="1"/>
    <col min="8043" max="8059" width="9.46484375" style="3" customWidth="1"/>
    <col min="8060" max="8060" width="10.53125" style="3" customWidth="1"/>
    <col min="8061" max="8061" width="10" style="3" customWidth="1"/>
    <col min="8062" max="8066" width="9.46484375" style="3" customWidth="1"/>
    <col min="8067" max="8067" width="12.796875" style="3" customWidth="1"/>
    <col min="8068" max="8068" width="10.796875" style="3" customWidth="1"/>
    <col min="8069" max="8069" width="11.19921875" style="3" customWidth="1"/>
    <col min="8070" max="8072" width="9.796875" style="3" customWidth="1"/>
    <col min="8073" max="8074" width="12.46484375" style="3" customWidth="1"/>
    <col min="8075" max="8075" width="12.796875" style="3" customWidth="1"/>
    <col min="8076" max="8076" width="10.53125" style="3" customWidth="1"/>
    <col min="8077" max="8077" width="10" style="3" customWidth="1"/>
    <col min="8078" max="8080" width="10.46484375" style="3" customWidth="1"/>
    <col min="8081" max="8081" width="13" style="3" customWidth="1"/>
    <col min="8082" max="8082" width="12.46484375" style="3" customWidth="1"/>
    <col min="8083" max="8091" width="13" style="3" customWidth="1"/>
    <col min="8092" max="8092" width="11.19921875" style="3" customWidth="1"/>
    <col min="8093" max="8096" width="10" style="3" customWidth="1"/>
    <col min="8097" max="8097" width="12.796875" style="3" customWidth="1"/>
    <col min="8098" max="8098" width="14.19921875" style="3" customWidth="1"/>
    <col min="8099" max="8099" width="13.53125" style="3" customWidth="1"/>
    <col min="8100" max="8289" width="9.19921875" style="3"/>
    <col min="8290" max="8290" width="5.46484375" style="3" customWidth="1"/>
    <col min="8291" max="8291" width="54.19921875" style="3" customWidth="1"/>
    <col min="8292" max="8292" width="10.46484375" style="3" customWidth="1"/>
    <col min="8293" max="8293" width="10.53125" style="3" customWidth="1"/>
    <col min="8294" max="8296" width="7.796875" style="3" customWidth="1"/>
    <col min="8297" max="8297" width="13.19921875" style="3" customWidth="1"/>
    <col min="8298" max="8298" width="11.53125" style="3" customWidth="1"/>
    <col min="8299" max="8315" width="9.46484375" style="3" customWidth="1"/>
    <col min="8316" max="8316" width="10.53125" style="3" customWidth="1"/>
    <col min="8317" max="8317" width="10" style="3" customWidth="1"/>
    <col min="8318" max="8322" width="9.46484375" style="3" customWidth="1"/>
    <col min="8323" max="8323" width="12.796875" style="3" customWidth="1"/>
    <col min="8324" max="8324" width="10.796875" style="3" customWidth="1"/>
    <col min="8325" max="8325" width="11.19921875" style="3" customWidth="1"/>
    <col min="8326" max="8328" width="9.796875" style="3" customWidth="1"/>
    <col min="8329" max="8330" width="12.46484375" style="3" customWidth="1"/>
    <col min="8331" max="8331" width="12.796875" style="3" customWidth="1"/>
    <col min="8332" max="8332" width="10.53125" style="3" customWidth="1"/>
    <col min="8333" max="8333" width="10" style="3" customWidth="1"/>
    <col min="8334" max="8336" width="10.46484375" style="3" customWidth="1"/>
    <col min="8337" max="8337" width="13" style="3" customWidth="1"/>
    <col min="8338" max="8338" width="12.46484375" style="3" customWidth="1"/>
    <col min="8339" max="8347" width="13" style="3" customWidth="1"/>
    <col min="8348" max="8348" width="11.19921875" style="3" customWidth="1"/>
    <col min="8349" max="8352" width="10" style="3" customWidth="1"/>
    <col min="8353" max="8353" width="12.796875" style="3" customWidth="1"/>
    <col min="8354" max="8354" width="14.19921875" style="3" customWidth="1"/>
    <col min="8355" max="8355" width="13.53125" style="3" customWidth="1"/>
    <col min="8356" max="8545" width="9.19921875" style="3"/>
    <col min="8546" max="8546" width="5.46484375" style="3" customWidth="1"/>
    <col min="8547" max="8547" width="54.19921875" style="3" customWidth="1"/>
    <col min="8548" max="8548" width="10.46484375" style="3" customWidth="1"/>
    <col min="8549" max="8549" width="10.53125" style="3" customWidth="1"/>
    <col min="8550" max="8552" width="7.796875" style="3" customWidth="1"/>
    <col min="8553" max="8553" width="13.19921875" style="3" customWidth="1"/>
    <col min="8554" max="8554" width="11.53125" style="3" customWidth="1"/>
    <col min="8555" max="8571" width="9.46484375" style="3" customWidth="1"/>
    <col min="8572" max="8572" width="10.53125" style="3" customWidth="1"/>
    <col min="8573" max="8573" width="10" style="3" customWidth="1"/>
    <col min="8574" max="8578" width="9.46484375" style="3" customWidth="1"/>
    <col min="8579" max="8579" width="12.796875" style="3" customWidth="1"/>
    <col min="8580" max="8580" width="10.796875" style="3" customWidth="1"/>
    <col min="8581" max="8581" width="11.19921875" style="3" customWidth="1"/>
    <col min="8582" max="8584" width="9.796875" style="3" customWidth="1"/>
    <col min="8585" max="8586" width="12.46484375" style="3" customWidth="1"/>
    <col min="8587" max="8587" width="12.796875" style="3" customWidth="1"/>
    <col min="8588" max="8588" width="10.53125" style="3" customWidth="1"/>
    <col min="8589" max="8589" width="10" style="3" customWidth="1"/>
    <col min="8590" max="8592" width="10.46484375" style="3" customWidth="1"/>
    <col min="8593" max="8593" width="13" style="3" customWidth="1"/>
    <col min="8594" max="8594" width="12.46484375" style="3" customWidth="1"/>
    <col min="8595" max="8603" width="13" style="3" customWidth="1"/>
    <col min="8604" max="8604" width="11.19921875" style="3" customWidth="1"/>
    <col min="8605" max="8608" width="10" style="3" customWidth="1"/>
    <col min="8609" max="8609" width="12.796875" style="3" customWidth="1"/>
    <col min="8610" max="8610" width="14.19921875" style="3" customWidth="1"/>
    <col min="8611" max="8611" width="13.53125" style="3" customWidth="1"/>
    <col min="8612" max="8801" width="9.19921875" style="3"/>
    <col min="8802" max="8802" width="5.46484375" style="3" customWidth="1"/>
    <col min="8803" max="8803" width="54.19921875" style="3" customWidth="1"/>
    <col min="8804" max="8804" width="10.46484375" style="3" customWidth="1"/>
    <col min="8805" max="8805" width="10.53125" style="3" customWidth="1"/>
    <col min="8806" max="8808" width="7.796875" style="3" customWidth="1"/>
    <col min="8809" max="8809" width="13.19921875" style="3" customWidth="1"/>
    <col min="8810" max="8810" width="11.53125" style="3" customWidth="1"/>
    <col min="8811" max="8827" width="9.46484375" style="3" customWidth="1"/>
    <col min="8828" max="8828" width="10.53125" style="3" customWidth="1"/>
    <col min="8829" max="8829" width="10" style="3" customWidth="1"/>
    <col min="8830" max="8834" width="9.46484375" style="3" customWidth="1"/>
    <col min="8835" max="8835" width="12.796875" style="3" customWidth="1"/>
    <col min="8836" max="8836" width="10.796875" style="3" customWidth="1"/>
    <col min="8837" max="8837" width="11.19921875" style="3" customWidth="1"/>
    <col min="8838" max="8840" width="9.796875" style="3" customWidth="1"/>
    <col min="8841" max="8842" width="12.46484375" style="3" customWidth="1"/>
    <col min="8843" max="8843" width="12.796875" style="3" customWidth="1"/>
    <col min="8844" max="8844" width="10.53125" style="3" customWidth="1"/>
    <col min="8845" max="8845" width="10" style="3" customWidth="1"/>
    <col min="8846" max="8848" width="10.46484375" style="3" customWidth="1"/>
    <col min="8849" max="8849" width="13" style="3" customWidth="1"/>
    <col min="8850" max="8850" width="12.46484375" style="3" customWidth="1"/>
    <col min="8851" max="8859" width="13" style="3" customWidth="1"/>
    <col min="8860" max="8860" width="11.19921875" style="3" customWidth="1"/>
    <col min="8861" max="8864" width="10" style="3" customWidth="1"/>
    <col min="8865" max="8865" width="12.796875" style="3" customWidth="1"/>
    <col min="8866" max="8866" width="14.19921875" style="3" customWidth="1"/>
    <col min="8867" max="8867" width="13.53125" style="3" customWidth="1"/>
    <col min="8868" max="9057" width="9.19921875" style="3"/>
    <col min="9058" max="9058" width="5.46484375" style="3" customWidth="1"/>
    <col min="9059" max="9059" width="54.19921875" style="3" customWidth="1"/>
    <col min="9060" max="9060" width="10.46484375" style="3" customWidth="1"/>
    <col min="9061" max="9061" width="10.53125" style="3" customWidth="1"/>
    <col min="9062" max="9064" width="7.796875" style="3" customWidth="1"/>
    <col min="9065" max="9065" width="13.19921875" style="3" customWidth="1"/>
    <col min="9066" max="9066" width="11.53125" style="3" customWidth="1"/>
    <col min="9067" max="9083" width="9.46484375" style="3" customWidth="1"/>
    <col min="9084" max="9084" width="10.53125" style="3" customWidth="1"/>
    <col min="9085" max="9085" width="10" style="3" customWidth="1"/>
    <col min="9086" max="9090" width="9.46484375" style="3" customWidth="1"/>
    <col min="9091" max="9091" width="12.796875" style="3" customWidth="1"/>
    <col min="9092" max="9092" width="10.796875" style="3" customWidth="1"/>
    <col min="9093" max="9093" width="11.19921875" style="3" customWidth="1"/>
    <col min="9094" max="9096" width="9.796875" style="3" customWidth="1"/>
    <col min="9097" max="9098" width="12.46484375" style="3" customWidth="1"/>
    <col min="9099" max="9099" width="12.796875" style="3" customWidth="1"/>
    <col min="9100" max="9100" width="10.53125" style="3" customWidth="1"/>
    <col min="9101" max="9101" width="10" style="3" customWidth="1"/>
    <col min="9102" max="9104" width="10.46484375" style="3" customWidth="1"/>
    <col min="9105" max="9105" width="13" style="3" customWidth="1"/>
    <col min="9106" max="9106" width="12.46484375" style="3" customWidth="1"/>
    <col min="9107" max="9115" width="13" style="3" customWidth="1"/>
    <col min="9116" max="9116" width="11.19921875" style="3" customWidth="1"/>
    <col min="9117" max="9120" width="10" style="3" customWidth="1"/>
    <col min="9121" max="9121" width="12.796875" style="3" customWidth="1"/>
    <col min="9122" max="9122" width="14.19921875" style="3" customWidth="1"/>
    <col min="9123" max="9123" width="13.53125" style="3" customWidth="1"/>
    <col min="9124" max="9313" width="9.19921875" style="3"/>
    <col min="9314" max="9314" width="5.46484375" style="3" customWidth="1"/>
    <col min="9315" max="9315" width="54.19921875" style="3" customWidth="1"/>
    <col min="9316" max="9316" width="10.46484375" style="3" customWidth="1"/>
    <col min="9317" max="9317" width="10.53125" style="3" customWidth="1"/>
    <col min="9318" max="9320" width="7.796875" style="3" customWidth="1"/>
    <col min="9321" max="9321" width="13.19921875" style="3" customWidth="1"/>
    <col min="9322" max="9322" width="11.53125" style="3" customWidth="1"/>
    <col min="9323" max="9339" width="9.46484375" style="3" customWidth="1"/>
    <col min="9340" max="9340" width="10.53125" style="3" customWidth="1"/>
    <col min="9341" max="9341" width="10" style="3" customWidth="1"/>
    <col min="9342" max="9346" width="9.46484375" style="3" customWidth="1"/>
    <col min="9347" max="9347" width="12.796875" style="3" customWidth="1"/>
    <col min="9348" max="9348" width="10.796875" style="3" customWidth="1"/>
    <col min="9349" max="9349" width="11.19921875" style="3" customWidth="1"/>
    <col min="9350" max="9352" width="9.796875" style="3" customWidth="1"/>
    <col min="9353" max="9354" width="12.46484375" style="3" customWidth="1"/>
    <col min="9355" max="9355" width="12.796875" style="3" customWidth="1"/>
    <col min="9356" max="9356" width="10.53125" style="3" customWidth="1"/>
    <col min="9357" max="9357" width="10" style="3" customWidth="1"/>
    <col min="9358" max="9360" width="10.46484375" style="3" customWidth="1"/>
    <col min="9361" max="9361" width="13" style="3" customWidth="1"/>
    <col min="9362" max="9362" width="12.46484375" style="3" customWidth="1"/>
    <col min="9363" max="9371" width="13" style="3" customWidth="1"/>
    <col min="9372" max="9372" width="11.19921875" style="3" customWidth="1"/>
    <col min="9373" max="9376" width="10" style="3" customWidth="1"/>
    <col min="9377" max="9377" width="12.796875" style="3" customWidth="1"/>
    <col min="9378" max="9378" width="14.19921875" style="3" customWidth="1"/>
    <col min="9379" max="9379" width="13.53125" style="3" customWidth="1"/>
    <col min="9380" max="9569" width="9.19921875" style="3"/>
    <col min="9570" max="9570" width="5.46484375" style="3" customWidth="1"/>
    <col min="9571" max="9571" width="54.19921875" style="3" customWidth="1"/>
    <col min="9572" max="9572" width="10.46484375" style="3" customWidth="1"/>
    <col min="9573" max="9573" width="10.53125" style="3" customWidth="1"/>
    <col min="9574" max="9576" width="7.796875" style="3" customWidth="1"/>
    <col min="9577" max="9577" width="13.19921875" style="3" customWidth="1"/>
    <col min="9578" max="9578" width="11.53125" style="3" customWidth="1"/>
    <col min="9579" max="9595" width="9.46484375" style="3" customWidth="1"/>
    <col min="9596" max="9596" width="10.53125" style="3" customWidth="1"/>
    <col min="9597" max="9597" width="10" style="3" customWidth="1"/>
    <col min="9598" max="9602" width="9.46484375" style="3" customWidth="1"/>
    <col min="9603" max="9603" width="12.796875" style="3" customWidth="1"/>
    <col min="9604" max="9604" width="10.796875" style="3" customWidth="1"/>
    <col min="9605" max="9605" width="11.19921875" style="3" customWidth="1"/>
    <col min="9606" max="9608" width="9.796875" style="3" customWidth="1"/>
    <col min="9609" max="9610" width="12.46484375" style="3" customWidth="1"/>
    <col min="9611" max="9611" width="12.796875" style="3" customWidth="1"/>
    <col min="9612" max="9612" width="10.53125" style="3" customWidth="1"/>
    <col min="9613" max="9613" width="10" style="3" customWidth="1"/>
    <col min="9614" max="9616" width="10.46484375" style="3" customWidth="1"/>
    <col min="9617" max="9617" width="13" style="3" customWidth="1"/>
    <col min="9618" max="9618" width="12.46484375" style="3" customWidth="1"/>
    <col min="9619" max="9627" width="13" style="3" customWidth="1"/>
    <col min="9628" max="9628" width="11.19921875" style="3" customWidth="1"/>
    <col min="9629" max="9632" width="10" style="3" customWidth="1"/>
    <col min="9633" max="9633" width="12.796875" style="3" customWidth="1"/>
    <col min="9634" max="9634" width="14.19921875" style="3" customWidth="1"/>
    <col min="9635" max="9635" width="13.53125" style="3" customWidth="1"/>
    <col min="9636" max="9825" width="9.19921875" style="3"/>
    <col min="9826" max="9826" width="5.46484375" style="3" customWidth="1"/>
    <col min="9827" max="9827" width="54.19921875" style="3" customWidth="1"/>
    <col min="9828" max="9828" width="10.46484375" style="3" customWidth="1"/>
    <col min="9829" max="9829" width="10.53125" style="3" customWidth="1"/>
    <col min="9830" max="9832" width="7.796875" style="3" customWidth="1"/>
    <col min="9833" max="9833" width="13.19921875" style="3" customWidth="1"/>
    <col min="9834" max="9834" width="11.53125" style="3" customWidth="1"/>
    <col min="9835" max="9851" width="9.46484375" style="3" customWidth="1"/>
    <col min="9852" max="9852" width="10.53125" style="3" customWidth="1"/>
    <col min="9853" max="9853" width="10" style="3" customWidth="1"/>
    <col min="9854" max="9858" width="9.46484375" style="3" customWidth="1"/>
    <col min="9859" max="9859" width="12.796875" style="3" customWidth="1"/>
    <col min="9860" max="9860" width="10.796875" style="3" customWidth="1"/>
    <col min="9861" max="9861" width="11.19921875" style="3" customWidth="1"/>
    <col min="9862" max="9864" width="9.796875" style="3" customWidth="1"/>
    <col min="9865" max="9866" width="12.46484375" style="3" customWidth="1"/>
    <col min="9867" max="9867" width="12.796875" style="3" customWidth="1"/>
    <col min="9868" max="9868" width="10.53125" style="3" customWidth="1"/>
    <col min="9869" max="9869" width="10" style="3" customWidth="1"/>
    <col min="9870" max="9872" width="10.46484375" style="3" customWidth="1"/>
    <col min="9873" max="9873" width="13" style="3" customWidth="1"/>
    <col min="9874" max="9874" width="12.46484375" style="3" customWidth="1"/>
    <col min="9875" max="9883" width="13" style="3" customWidth="1"/>
    <col min="9884" max="9884" width="11.19921875" style="3" customWidth="1"/>
    <col min="9885" max="9888" width="10" style="3" customWidth="1"/>
    <col min="9889" max="9889" width="12.796875" style="3" customWidth="1"/>
    <col min="9890" max="9890" width="14.19921875" style="3" customWidth="1"/>
    <col min="9891" max="9891" width="13.53125" style="3" customWidth="1"/>
    <col min="9892" max="10081" width="9.19921875" style="3"/>
    <col min="10082" max="10082" width="5.46484375" style="3" customWidth="1"/>
    <col min="10083" max="10083" width="54.19921875" style="3" customWidth="1"/>
    <col min="10084" max="10084" width="10.46484375" style="3" customWidth="1"/>
    <col min="10085" max="10085" width="10.53125" style="3" customWidth="1"/>
    <col min="10086" max="10088" width="7.796875" style="3" customWidth="1"/>
    <col min="10089" max="10089" width="13.19921875" style="3" customWidth="1"/>
    <col min="10090" max="10090" width="11.53125" style="3" customWidth="1"/>
    <col min="10091" max="10107" width="9.46484375" style="3" customWidth="1"/>
    <col min="10108" max="10108" width="10.53125" style="3" customWidth="1"/>
    <col min="10109" max="10109" width="10" style="3" customWidth="1"/>
    <col min="10110" max="10114" width="9.46484375" style="3" customWidth="1"/>
    <col min="10115" max="10115" width="12.796875" style="3" customWidth="1"/>
    <col min="10116" max="10116" width="10.796875" style="3" customWidth="1"/>
    <col min="10117" max="10117" width="11.19921875" style="3" customWidth="1"/>
    <col min="10118" max="10120" width="9.796875" style="3" customWidth="1"/>
    <col min="10121" max="10122" width="12.46484375" style="3" customWidth="1"/>
    <col min="10123" max="10123" width="12.796875" style="3" customWidth="1"/>
    <col min="10124" max="10124" width="10.53125" style="3" customWidth="1"/>
    <col min="10125" max="10125" width="10" style="3" customWidth="1"/>
    <col min="10126" max="10128" width="10.46484375" style="3" customWidth="1"/>
    <col min="10129" max="10129" width="13" style="3" customWidth="1"/>
    <col min="10130" max="10130" width="12.46484375" style="3" customWidth="1"/>
    <col min="10131" max="10139" width="13" style="3" customWidth="1"/>
    <col min="10140" max="10140" width="11.19921875" style="3" customWidth="1"/>
    <col min="10141" max="10144" width="10" style="3" customWidth="1"/>
    <col min="10145" max="10145" width="12.796875" style="3" customWidth="1"/>
    <col min="10146" max="10146" width="14.19921875" style="3" customWidth="1"/>
    <col min="10147" max="10147" width="13.53125" style="3" customWidth="1"/>
    <col min="10148" max="10337" width="9.19921875" style="3"/>
    <col min="10338" max="10338" width="5.46484375" style="3" customWidth="1"/>
    <col min="10339" max="10339" width="54.19921875" style="3" customWidth="1"/>
    <col min="10340" max="10340" width="10.46484375" style="3" customWidth="1"/>
    <col min="10341" max="10341" width="10.53125" style="3" customWidth="1"/>
    <col min="10342" max="10344" width="7.796875" style="3" customWidth="1"/>
    <col min="10345" max="10345" width="13.19921875" style="3" customWidth="1"/>
    <col min="10346" max="10346" width="11.53125" style="3" customWidth="1"/>
    <col min="10347" max="10363" width="9.46484375" style="3" customWidth="1"/>
    <col min="10364" max="10364" width="10.53125" style="3" customWidth="1"/>
    <col min="10365" max="10365" width="10" style="3" customWidth="1"/>
    <col min="10366" max="10370" width="9.46484375" style="3" customWidth="1"/>
    <col min="10371" max="10371" width="12.796875" style="3" customWidth="1"/>
    <col min="10372" max="10372" width="10.796875" style="3" customWidth="1"/>
    <col min="10373" max="10373" width="11.19921875" style="3" customWidth="1"/>
    <col min="10374" max="10376" width="9.796875" style="3" customWidth="1"/>
    <col min="10377" max="10378" width="12.46484375" style="3" customWidth="1"/>
    <col min="10379" max="10379" width="12.796875" style="3" customWidth="1"/>
    <col min="10380" max="10380" width="10.53125" style="3" customWidth="1"/>
    <col min="10381" max="10381" width="10" style="3" customWidth="1"/>
    <col min="10382" max="10384" width="10.46484375" style="3" customWidth="1"/>
    <col min="10385" max="10385" width="13" style="3" customWidth="1"/>
    <col min="10386" max="10386" width="12.46484375" style="3" customWidth="1"/>
    <col min="10387" max="10395" width="13" style="3" customWidth="1"/>
    <col min="10396" max="10396" width="11.19921875" style="3" customWidth="1"/>
    <col min="10397" max="10400" width="10" style="3" customWidth="1"/>
    <col min="10401" max="10401" width="12.796875" style="3" customWidth="1"/>
    <col min="10402" max="10402" width="14.19921875" style="3" customWidth="1"/>
    <col min="10403" max="10403" width="13.53125" style="3" customWidth="1"/>
    <col min="10404" max="10593" width="9.19921875" style="3"/>
    <col min="10594" max="10594" width="5.46484375" style="3" customWidth="1"/>
    <col min="10595" max="10595" width="54.19921875" style="3" customWidth="1"/>
    <col min="10596" max="10596" width="10.46484375" style="3" customWidth="1"/>
    <col min="10597" max="10597" width="10.53125" style="3" customWidth="1"/>
    <col min="10598" max="10600" width="7.796875" style="3" customWidth="1"/>
    <col min="10601" max="10601" width="13.19921875" style="3" customWidth="1"/>
    <col min="10602" max="10602" width="11.53125" style="3" customWidth="1"/>
    <col min="10603" max="10619" width="9.46484375" style="3" customWidth="1"/>
    <col min="10620" max="10620" width="10.53125" style="3" customWidth="1"/>
    <col min="10621" max="10621" width="10" style="3" customWidth="1"/>
    <col min="10622" max="10626" width="9.46484375" style="3" customWidth="1"/>
    <col min="10627" max="10627" width="12.796875" style="3" customWidth="1"/>
    <col min="10628" max="10628" width="10.796875" style="3" customWidth="1"/>
    <col min="10629" max="10629" width="11.19921875" style="3" customWidth="1"/>
    <col min="10630" max="10632" width="9.796875" style="3" customWidth="1"/>
    <col min="10633" max="10634" width="12.46484375" style="3" customWidth="1"/>
    <col min="10635" max="10635" width="12.796875" style="3" customWidth="1"/>
    <col min="10636" max="10636" width="10.53125" style="3" customWidth="1"/>
    <col min="10637" max="10637" width="10" style="3" customWidth="1"/>
    <col min="10638" max="10640" width="10.46484375" style="3" customWidth="1"/>
    <col min="10641" max="10641" width="13" style="3" customWidth="1"/>
    <col min="10642" max="10642" width="12.46484375" style="3" customWidth="1"/>
    <col min="10643" max="10651" width="13" style="3" customWidth="1"/>
    <col min="10652" max="10652" width="11.19921875" style="3" customWidth="1"/>
    <col min="10653" max="10656" width="10" style="3" customWidth="1"/>
    <col min="10657" max="10657" width="12.796875" style="3" customWidth="1"/>
    <col min="10658" max="10658" width="14.19921875" style="3" customWidth="1"/>
    <col min="10659" max="10659" width="13.53125" style="3" customWidth="1"/>
    <col min="10660" max="10849" width="9.19921875" style="3"/>
    <col min="10850" max="10850" width="5.46484375" style="3" customWidth="1"/>
    <col min="10851" max="10851" width="54.19921875" style="3" customWidth="1"/>
    <col min="10852" max="10852" width="10.46484375" style="3" customWidth="1"/>
    <col min="10853" max="10853" width="10.53125" style="3" customWidth="1"/>
    <col min="10854" max="10856" width="7.796875" style="3" customWidth="1"/>
    <col min="10857" max="10857" width="13.19921875" style="3" customWidth="1"/>
    <col min="10858" max="10858" width="11.53125" style="3" customWidth="1"/>
    <col min="10859" max="10875" width="9.46484375" style="3" customWidth="1"/>
    <col min="10876" max="10876" width="10.53125" style="3" customWidth="1"/>
    <col min="10877" max="10877" width="10" style="3" customWidth="1"/>
    <col min="10878" max="10882" width="9.46484375" style="3" customWidth="1"/>
    <col min="10883" max="10883" width="12.796875" style="3" customWidth="1"/>
    <col min="10884" max="10884" width="10.796875" style="3" customWidth="1"/>
    <col min="10885" max="10885" width="11.19921875" style="3" customWidth="1"/>
    <col min="10886" max="10888" width="9.796875" style="3" customWidth="1"/>
    <col min="10889" max="10890" width="12.46484375" style="3" customWidth="1"/>
    <col min="10891" max="10891" width="12.796875" style="3" customWidth="1"/>
    <col min="10892" max="10892" width="10.53125" style="3" customWidth="1"/>
    <col min="10893" max="10893" width="10" style="3" customWidth="1"/>
    <col min="10894" max="10896" width="10.46484375" style="3" customWidth="1"/>
    <col min="10897" max="10897" width="13" style="3" customWidth="1"/>
    <col min="10898" max="10898" width="12.46484375" style="3" customWidth="1"/>
    <col min="10899" max="10907" width="13" style="3" customWidth="1"/>
    <col min="10908" max="10908" width="11.19921875" style="3" customWidth="1"/>
    <col min="10909" max="10912" width="10" style="3" customWidth="1"/>
    <col min="10913" max="10913" width="12.796875" style="3" customWidth="1"/>
    <col min="10914" max="10914" width="14.19921875" style="3" customWidth="1"/>
    <col min="10915" max="10915" width="13.53125" style="3" customWidth="1"/>
    <col min="10916" max="11105" width="9.19921875" style="3"/>
    <col min="11106" max="11106" width="5.46484375" style="3" customWidth="1"/>
    <col min="11107" max="11107" width="54.19921875" style="3" customWidth="1"/>
    <col min="11108" max="11108" width="10.46484375" style="3" customWidth="1"/>
    <col min="11109" max="11109" width="10.53125" style="3" customWidth="1"/>
    <col min="11110" max="11112" width="7.796875" style="3" customWidth="1"/>
    <col min="11113" max="11113" width="13.19921875" style="3" customWidth="1"/>
    <col min="11114" max="11114" width="11.53125" style="3" customWidth="1"/>
    <col min="11115" max="11131" width="9.46484375" style="3" customWidth="1"/>
    <col min="11132" max="11132" width="10.53125" style="3" customWidth="1"/>
    <col min="11133" max="11133" width="10" style="3" customWidth="1"/>
    <col min="11134" max="11138" width="9.46484375" style="3" customWidth="1"/>
    <col min="11139" max="11139" width="12.796875" style="3" customWidth="1"/>
    <col min="11140" max="11140" width="10.796875" style="3" customWidth="1"/>
    <col min="11141" max="11141" width="11.19921875" style="3" customWidth="1"/>
    <col min="11142" max="11144" width="9.796875" style="3" customWidth="1"/>
    <col min="11145" max="11146" width="12.46484375" style="3" customWidth="1"/>
    <col min="11147" max="11147" width="12.796875" style="3" customWidth="1"/>
    <col min="11148" max="11148" width="10.53125" style="3" customWidth="1"/>
    <col min="11149" max="11149" width="10" style="3" customWidth="1"/>
    <col min="11150" max="11152" width="10.46484375" style="3" customWidth="1"/>
    <col min="11153" max="11153" width="13" style="3" customWidth="1"/>
    <col min="11154" max="11154" width="12.46484375" style="3" customWidth="1"/>
    <col min="11155" max="11163" width="13" style="3" customWidth="1"/>
    <col min="11164" max="11164" width="11.19921875" style="3" customWidth="1"/>
    <col min="11165" max="11168" width="10" style="3" customWidth="1"/>
    <col min="11169" max="11169" width="12.796875" style="3" customWidth="1"/>
    <col min="11170" max="11170" width="14.19921875" style="3" customWidth="1"/>
    <col min="11171" max="11171" width="13.53125" style="3" customWidth="1"/>
    <col min="11172" max="11361" width="9.19921875" style="3"/>
    <col min="11362" max="11362" width="5.46484375" style="3" customWidth="1"/>
    <col min="11363" max="11363" width="54.19921875" style="3" customWidth="1"/>
    <col min="11364" max="11364" width="10.46484375" style="3" customWidth="1"/>
    <col min="11365" max="11365" width="10.53125" style="3" customWidth="1"/>
    <col min="11366" max="11368" width="7.796875" style="3" customWidth="1"/>
    <col min="11369" max="11369" width="13.19921875" style="3" customWidth="1"/>
    <col min="11370" max="11370" width="11.53125" style="3" customWidth="1"/>
    <col min="11371" max="11387" width="9.46484375" style="3" customWidth="1"/>
    <col min="11388" max="11388" width="10.53125" style="3" customWidth="1"/>
    <col min="11389" max="11389" width="10" style="3" customWidth="1"/>
    <col min="11390" max="11394" width="9.46484375" style="3" customWidth="1"/>
    <col min="11395" max="11395" width="12.796875" style="3" customWidth="1"/>
    <col min="11396" max="11396" width="10.796875" style="3" customWidth="1"/>
    <col min="11397" max="11397" width="11.19921875" style="3" customWidth="1"/>
    <col min="11398" max="11400" width="9.796875" style="3" customWidth="1"/>
    <col min="11401" max="11402" width="12.46484375" style="3" customWidth="1"/>
    <col min="11403" max="11403" width="12.796875" style="3" customWidth="1"/>
    <col min="11404" max="11404" width="10.53125" style="3" customWidth="1"/>
    <col min="11405" max="11405" width="10" style="3" customWidth="1"/>
    <col min="11406" max="11408" width="10.46484375" style="3" customWidth="1"/>
    <col min="11409" max="11409" width="13" style="3" customWidth="1"/>
    <col min="11410" max="11410" width="12.46484375" style="3" customWidth="1"/>
    <col min="11411" max="11419" width="13" style="3" customWidth="1"/>
    <col min="11420" max="11420" width="11.19921875" style="3" customWidth="1"/>
    <col min="11421" max="11424" width="10" style="3" customWidth="1"/>
    <col min="11425" max="11425" width="12.796875" style="3" customWidth="1"/>
    <col min="11426" max="11426" width="14.19921875" style="3" customWidth="1"/>
    <col min="11427" max="11427" width="13.53125" style="3" customWidth="1"/>
    <col min="11428" max="11617" width="9.19921875" style="3"/>
    <col min="11618" max="11618" width="5.46484375" style="3" customWidth="1"/>
    <col min="11619" max="11619" width="54.19921875" style="3" customWidth="1"/>
    <col min="11620" max="11620" width="10.46484375" style="3" customWidth="1"/>
    <col min="11621" max="11621" width="10.53125" style="3" customWidth="1"/>
    <col min="11622" max="11624" width="7.796875" style="3" customWidth="1"/>
    <col min="11625" max="11625" width="13.19921875" style="3" customWidth="1"/>
    <col min="11626" max="11626" width="11.53125" style="3" customWidth="1"/>
    <col min="11627" max="11643" width="9.46484375" style="3" customWidth="1"/>
    <col min="11644" max="11644" width="10.53125" style="3" customWidth="1"/>
    <col min="11645" max="11645" width="10" style="3" customWidth="1"/>
    <col min="11646" max="11650" width="9.46484375" style="3" customWidth="1"/>
    <col min="11651" max="11651" width="12.796875" style="3" customWidth="1"/>
    <col min="11652" max="11652" width="10.796875" style="3" customWidth="1"/>
    <col min="11653" max="11653" width="11.19921875" style="3" customWidth="1"/>
    <col min="11654" max="11656" width="9.796875" style="3" customWidth="1"/>
    <col min="11657" max="11658" width="12.46484375" style="3" customWidth="1"/>
    <col min="11659" max="11659" width="12.796875" style="3" customWidth="1"/>
    <col min="11660" max="11660" width="10.53125" style="3" customWidth="1"/>
    <col min="11661" max="11661" width="10" style="3" customWidth="1"/>
    <col min="11662" max="11664" width="10.46484375" style="3" customWidth="1"/>
    <col min="11665" max="11665" width="13" style="3" customWidth="1"/>
    <col min="11666" max="11666" width="12.46484375" style="3" customWidth="1"/>
    <col min="11667" max="11675" width="13" style="3" customWidth="1"/>
    <col min="11676" max="11676" width="11.19921875" style="3" customWidth="1"/>
    <col min="11677" max="11680" width="10" style="3" customWidth="1"/>
    <col min="11681" max="11681" width="12.796875" style="3" customWidth="1"/>
    <col min="11682" max="11682" width="14.19921875" style="3" customWidth="1"/>
    <col min="11683" max="11683" width="13.53125" style="3" customWidth="1"/>
    <col min="11684" max="11873" width="9.19921875" style="3"/>
    <col min="11874" max="11874" width="5.46484375" style="3" customWidth="1"/>
    <col min="11875" max="11875" width="54.19921875" style="3" customWidth="1"/>
    <col min="11876" max="11876" width="10.46484375" style="3" customWidth="1"/>
    <col min="11877" max="11877" width="10.53125" style="3" customWidth="1"/>
    <col min="11878" max="11880" width="7.796875" style="3" customWidth="1"/>
    <col min="11881" max="11881" width="13.19921875" style="3" customWidth="1"/>
    <col min="11882" max="11882" width="11.53125" style="3" customWidth="1"/>
    <col min="11883" max="11899" width="9.46484375" style="3" customWidth="1"/>
    <col min="11900" max="11900" width="10.53125" style="3" customWidth="1"/>
    <col min="11901" max="11901" width="10" style="3" customWidth="1"/>
    <col min="11902" max="11906" width="9.46484375" style="3" customWidth="1"/>
    <col min="11907" max="11907" width="12.796875" style="3" customWidth="1"/>
    <col min="11908" max="11908" width="10.796875" style="3" customWidth="1"/>
    <col min="11909" max="11909" width="11.19921875" style="3" customWidth="1"/>
    <col min="11910" max="11912" width="9.796875" style="3" customWidth="1"/>
    <col min="11913" max="11914" width="12.46484375" style="3" customWidth="1"/>
    <col min="11915" max="11915" width="12.796875" style="3" customWidth="1"/>
    <col min="11916" max="11916" width="10.53125" style="3" customWidth="1"/>
    <col min="11917" max="11917" width="10" style="3" customWidth="1"/>
    <col min="11918" max="11920" width="10.46484375" style="3" customWidth="1"/>
    <col min="11921" max="11921" width="13" style="3" customWidth="1"/>
    <col min="11922" max="11922" width="12.46484375" style="3" customWidth="1"/>
    <col min="11923" max="11931" width="13" style="3" customWidth="1"/>
    <col min="11932" max="11932" width="11.19921875" style="3" customWidth="1"/>
    <col min="11933" max="11936" width="10" style="3" customWidth="1"/>
    <col min="11937" max="11937" width="12.796875" style="3" customWidth="1"/>
    <col min="11938" max="11938" width="14.19921875" style="3" customWidth="1"/>
    <col min="11939" max="11939" width="13.53125" style="3" customWidth="1"/>
    <col min="11940" max="12129" width="9.19921875" style="3"/>
    <col min="12130" max="12130" width="5.46484375" style="3" customWidth="1"/>
    <col min="12131" max="12131" width="54.19921875" style="3" customWidth="1"/>
    <col min="12132" max="12132" width="10.46484375" style="3" customWidth="1"/>
    <col min="12133" max="12133" width="10.53125" style="3" customWidth="1"/>
    <col min="12134" max="12136" width="7.796875" style="3" customWidth="1"/>
    <col min="12137" max="12137" width="13.19921875" style="3" customWidth="1"/>
    <col min="12138" max="12138" width="11.53125" style="3" customWidth="1"/>
    <col min="12139" max="12155" width="9.46484375" style="3" customWidth="1"/>
    <col min="12156" max="12156" width="10.53125" style="3" customWidth="1"/>
    <col min="12157" max="12157" width="10" style="3" customWidth="1"/>
    <col min="12158" max="12162" width="9.46484375" style="3" customWidth="1"/>
    <col min="12163" max="12163" width="12.796875" style="3" customWidth="1"/>
    <col min="12164" max="12164" width="10.796875" style="3" customWidth="1"/>
    <col min="12165" max="12165" width="11.19921875" style="3" customWidth="1"/>
    <col min="12166" max="12168" width="9.796875" style="3" customWidth="1"/>
    <col min="12169" max="12170" width="12.46484375" style="3" customWidth="1"/>
    <col min="12171" max="12171" width="12.796875" style="3" customWidth="1"/>
    <col min="12172" max="12172" width="10.53125" style="3" customWidth="1"/>
    <col min="12173" max="12173" width="10" style="3" customWidth="1"/>
    <col min="12174" max="12176" width="10.46484375" style="3" customWidth="1"/>
    <col min="12177" max="12177" width="13" style="3" customWidth="1"/>
    <col min="12178" max="12178" width="12.46484375" style="3" customWidth="1"/>
    <col min="12179" max="12187" width="13" style="3" customWidth="1"/>
    <col min="12188" max="12188" width="11.19921875" style="3" customWidth="1"/>
    <col min="12189" max="12192" width="10" style="3" customWidth="1"/>
    <col min="12193" max="12193" width="12.796875" style="3" customWidth="1"/>
    <col min="12194" max="12194" width="14.19921875" style="3" customWidth="1"/>
    <col min="12195" max="12195" width="13.53125" style="3" customWidth="1"/>
    <col min="12196" max="12385" width="9.19921875" style="3"/>
    <col min="12386" max="12386" width="5.46484375" style="3" customWidth="1"/>
    <col min="12387" max="12387" width="54.19921875" style="3" customWidth="1"/>
    <col min="12388" max="12388" width="10.46484375" style="3" customWidth="1"/>
    <col min="12389" max="12389" width="10.53125" style="3" customWidth="1"/>
    <col min="12390" max="12392" width="7.796875" style="3" customWidth="1"/>
    <col min="12393" max="12393" width="13.19921875" style="3" customWidth="1"/>
    <col min="12394" max="12394" width="11.53125" style="3" customWidth="1"/>
    <col min="12395" max="12411" width="9.46484375" style="3" customWidth="1"/>
    <col min="12412" max="12412" width="10.53125" style="3" customWidth="1"/>
    <col min="12413" max="12413" width="10" style="3" customWidth="1"/>
    <col min="12414" max="12418" width="9.46484375" style="3" customWidth="1"/>
    <col min="12419" max="12419" width="12.796875" style="3" customWidth="1"/>
    <col min="12420" max="12420" width="10.796875" style="3" customWidth="1"/>
    <col min="12421" max="12421" width="11.19921875" style="3" customWidth="1"/>
    <col min="12422" max="12424" width="9.796875" style="3" customWidth="1"/>
    <col min="12425" max="12426" width="12.46484375" style="3" customWidth="1"/>
    <col min="12427" max="12427" width="12.796875" style="3" customWidth="1"/>
    <col min="12428" max="12428" width="10.53125" style="3" customWidth="1"/>
    <col min="12429" max="12429" width="10" style="3" customWidth="1"/>
    <col min="12430" max="12432" width="10.46484375" style="3" customWidth="1"/>
    <col min="12433" max="12433" width="13" style="3" customWidth="1"/>
    <col min="12434" max="12434" width="12.46484375" style="3" customWidth="1"/>
    <col min="12435" max="12443" width="13" style="3" customWidth="1"/>
    <col min="12444" max="12444" width="11.19921875" style="3" customWidth="1"/>
    <col min="12445" max="12448" width="10" style="3" customWidth="1"/>
    <col min="12449" max="12449" width="12.796875" style="3" customWidth="1"/>
    <col min="12450" max="12450" width="14.19921875" style="3" customWidth="1"/>
    <col min="12451" max="12451" width="13.53125" style="3" customWidth="1"/>
    <col min="12452" max="12641" width="9.19921875" style="3"/>
    <col min="12642" max="12642" width="5.46484375" style="3" customWidth="1"/>
    <col min="12643" max="12643" width="54.19921875" style="3" customWidth="1"/>
    <col min="12644" max="12644" width="10.46484375" style="3" customWidth="1"/>
    <col min="12645" max="12645" width="10.53125" style="3" customWidth="1"/>
    <col min="12646" max="12648" width="7.796875" style="3" customWidth="1"/>
    <col min="12649" max="12649" width="13.19921875" style="3" customWidth="1"/>
    <col min="12650" max="12650" width="11.53125" style="3" customWidth="1"/>
    <col min="12651" max="12667" width="9.46484375" style="3" customWidth="1"/>
    <col min="12668" max="12668" width="10.53125" style="3" customWidth="1"/>
    <col min="12669" max="12669" width="10" style="3" customWidth="1"/>
    <col min="12670" max="12674" width="9.46484375" style="3" customWidth="1"/>
    <col min="12675" max="12675" width="12.796875" style="3" customWidth="1"/>
    <col min="12676" max="12676" width="10.796875" style="3" customWidth="1"/>
    <col min="12677" max="12677" width="11.19921875" style="3" customWidth="1"/>
    <col min="12678" max="12680" width="9.796875" style="3" customWidth="1"/>
    <col min="12681" max="12682" width="12.46484375" style="3" customWidth="1"/>
    <col min="12683" max="12683" width="12.796875" style="3" customWidth="1"/>
    <col min="12684" max="12684" width="10.53125" style="3" customWidth="1"/>
    <col min="12685" max="12685" width="10" style="3" customWidth="1"/>
    <col min="12686" max="12688" width="10.46484375" style="3" customWidth="1"/>
    <col min="12689" max="12689" width="13" style="3" customWidth="1"/>
    <col min="12690" max="12690" width="12.46484375" style="3" customWidth="1"/>
    <col min="12691" max="12699" width="13" style="3" customWidth="1"/>
    <col min="12700" max="12700" width="11.19921875" style="3" customWidth="1"/>
    <col min="12701" max="12704" width="10" style="3" customWidth="1"/>
    <col min="12705" max="12705" width="12.796875" style="3" customWidth="1"/>
    <col min="12706" max="12706" width="14.19921875" style="3" customWidth="1"/>
    <col min="12707" max="12707" width="13.53125" style="3" customWidth="1"/>
    <col min="12708" max="12897" width="9.19921875" style="3"/>
    <col min="12898" max="12898" width="5.46484375" style="3" customWidth="1"/>
    <col min="12899" max="12899" width="54.19921875" style="3" customWidth="1"/>
    <col min="12900" max="12900" width="10.46484375" style="3" customWidth="1"/>
    <col min="12901" max="12901" width="10.53125" style="3" customWidth="1"/>
    <col min="12902" max="12904" width="7.796875" style="3" customWidth="1"/>
    <col min="12905" max="12905" width="13.19921875" style="3" customWidth="1"/>
    <col min="12906" max="12906" width="11.53125" style="3" customWidth="1"/>
    <col min="12907" max="12923" width="9.46484375" style="3" customWidth="1"/>
    <col min="12924" max="12924" width="10.53125" style="3" customWidth="1"/>
    <col min="12925" max="12925" width="10" style="3" customWidth="1"/>
    <col min="12926" max="12930" width="9.46484375" style="3" customWidth="1"/>
    <col min="12931" max="12931" width="12.796875" style="3" customWidth="1"/>
    <col min="12932" max="12932" width="10.796875" style="3" customWidth="1"/>
    <col min="12933" max="12933" width="11.19921875" style="3" customWidth="1"/>
    <col min="12934" max="12936" width="9.796875" style="3" customWidth="1"/>
    <col min="12937" max="12938" width="12.46484375" style="3" customWidth="1"/>
    <col min="12939" max="12939" width="12.796875" style="3" customWidth="1"/>
    <col min="12940" max="12940" width="10.53125" style="3" customWidth="1"/>
    <col min="12941" max="12941" width="10" style="3" customWidth="1"/>
    <col min="12942" max="12944" width="10.46484375" style="3" customWidth="1"/>
    <col min="12945" max="12945" width="13" style="3" customWidth="1"/>
    <col min="12946" max="12946" width="12.46484375" style="3" customWidth="1"/>
    <col min="12947" max="12955" width="13" style="3" customWidth="1"/>
    <col min="12956" max="12956" width="11.19921875" style="3" customWidth="1"/>
    <col min="12957" max="12960" width="10" style="3" customWidth="1"/>
    <col min="12961" max="12961" width="12.796875" style="3" customWidth="1"/>
    <col min="12962" max="12962" width="14.19921875" style="3" customWidth="1"/>
    <col min="12963" max="12963" width="13.53125" style="3" customWidth="1"/>
    <col min="12964" max="13153" width="9.19921875" style="3"/>
    <col min="13154" max="13154" width="5.46484375" style="3" customWidth="1"/>
    <col min="13155" max="13155" width="54.19921875" style="3" customWidth="1"/>
    <col min="13156" max="13156" width="10.46484375" style="3" customWidth="1"/>
    <col min="13157" max="13157" width="10.53125" style="3" customWidth="1"/>
    <col min="13158" max="13160" width="7.796875" style="3" customWidth="1"/>
    <col min="13161" max="13161" width="13.19921875" style="3" customWidth="1"/>
    <col min="13162" max="13162" width="11.53125" style="3" customWidth="1"/>
    <col min="13163" max="13179" width="9.46484375" style="3" customWidth="1"/>
    <col min="13180" max="13180" width="10.53125" style="3" customWidth="1"/>
    <col min="13181" max="13181" width="10" style="3" customWidth="1"/>
    <col min="13182" max="13186" width="9.46484375" style="3" customWidth="1"/>
    <col min="13187" max="13187" width="12.796875" style="3" customWidth="1"/>
    <col min="13188" max="13188" width="10.796875" style="3" customWidth="1"/>
    <col min="13189" max="13189" width="11.19921875" style="3" customWidth="1"/>
    <col min="13190" max="13192" width="9.796875" style="3" customWidth="1"/>
    <col min="13193" max="13194" width="12.46484375" style="3" customWidth="1"/>
    <col min="13195" max="13195" width="12.796875" style="3" customWidth="1"/>
    <col min="13196" max="13196" width="10.53125" style="3" customWidth="1"/>
    <col min="13197" max="13197" width="10" style="3" customWidth="1"/>
    <col min="13198" max="13200" width="10.46484375" style="3" customWidth="1"/>
    <col min="13201" max="13201" width="13" style="3" customWidth="1"/>
    <col min="13202" max="13202" width="12.46484375" style="3" customWidth="1"/>
    <col min="13203" max="13211" width="13" style="3" customWidth="1"/>
    <col min="13212" max="13212" width="11.19921875" style="3" customWidth="1"/>
    <col min="13213" max="13216" width="10" style="3" customWidth="1"/>
    <col min="13217" max="13217" width="12.796875" style="3" customWidth="1"/>
    <col min="13218" max="13218" width="14.19921875" style="3" customWidth="1"/>
    <col min="13219" max="13219" width="13.53125" style="3" customWidth="1"/>
    <col min="13220" max="13409" width="9.19921875" style="3"/>
    <col min="13410" max="13410" width="5.46484375" style="3" customWidth="1"/>
    <col min="13411" max="13411" width="54.19921875" style="3" customWidth="1"/>
    <col min="13412" max="13412" width="10.46484375" style="3" customWidth="1"/>
    <col min="13413" max="13413" width="10.53125" style="3" customWidth="1"/>
    <col min="13414" max="13416" width="7.796875" style="3" customWidth="1"/>
    <col min="13417" max="13417" width="13.19921875" style="3" customWidth="1"/>
    <col min="13418" max="13418" width="11.53125" style="3" customWidth="1"/>
    <col min="13419" max="13435" width="9.46484375" style="3" customWidth="1"/>
    <col min="13436" max="13436" width="10.53125" style="3" customWidth="1"/>
    <col min="13437" max="13437" width="10" style="3" customWidth="1"/>
    <col min="13438" max="13442" width="9.46484375" style="3" customWidth="1"/>
    <col min="13443" max="13443" width="12.796875" style="3" customWidth="1"/>
    <col min="13444" max="13444" width="10.796875" style="3" customWidth="1"/>
    <col min="13445" max="13445" width="11.19921875" style="3" customWidth="1"/>
    <col min="13446" max="13448" width="9.796875" style="3" customWidth="1"/>
    <col min="13449" max="13450" width="12.46484375" style="3" customWidth="1"/>
    <col min="13451" max="13451" width="12.796875" style="3" customWidth="1"/>
    <col min="13452" max="13452" width="10.53125" style="3" customWidth="1"/>
    <col min="13453" max="13453" width="10" style="3" customWidth="1"/>
    <col min="13454" max="13456" width="10.46484375" style="3" customWidth="1"/>
    <col min="13457" max="13457" width="13" style="3" customWidth="1"/>
    <col min="13458" max="13458" width="12.46484375" style="3" customWidth="1"/>
    <col min="13459" max="13467" width="13" style="3" customWidth="1"/>
    <col min="13468" max="13468" width="11.19921875" style="3" customWidth="1"/>
    <col min="13469" max="13472" width="10" style="3" customWidth="1"/>
    <col min="13473" max="13473" width="12.796875" style="3" customWidth="1"/>
    <col min="13474" max="13474" width="14.19921875" style="3" customWidth="1"/>
    <col min="13475" max="13475" width="13.53125" style="3" customWidth="1"/>
    <col min="13476" max="13665" width="9.19921875" style="3"/>
    <col min="13666" max="13666" width="5.46484375" style="3" customWidth="1"/>
    <col min="13667" max="13667" width="54.19921875" style="3" customWidth="1"/>
    <col min="13668" max="13668" width="10.46484375" style="3" customWidth="1"/>
    <col min="13669" max="13669" width="10.53125" style="3" customWidth="1"/>
    <col min="13670" max="13672" width="7.796875" style="3" customWidth="1"/>
    <col min="13673" max="13673" width="13.19921875" style="3" customWidth="1"/>
    <col min="13674" max="13674" width="11.53125" style="3" customWidth="1"/>
    <col min="13675" max="13691" width="9.46484375" style="3" customWidth="1"/>
    <col min="13692" max="13692" width="10.53125" style="3" customWidth="1"/>
    <col min="13693" max="13693" width="10" style="3" customWidth="1"/>
    <col min="13694" max="13698" width="9.46484375" style="3" customWidth="1"/>
    <col min="13699" max="13699" width="12.796875" style="3" customWidth="1"/>
    <col min="13700" max="13700" width="10.796875" style="3" customWidth="1"/>
    <col min="13701" max="13701" width="11.19921875" style="3" customWidth="1"/>
    <col min="13702" max="13704" width="9.796875" style="3" customWidth="1"/>
    <col min="13705" max="13706" width="12.46484375" style="3" customWidth="1"/>
    <col min="13707" max="13707" width="12.796875" style="3" customWidth="1"/>
    <col min="13708" max="13708" width="10.53125" style="3" customWidth="1"/>
    <col min="13709" max="13709" width="10" style="3" customWidth="1"/>
    <col min="13710" max="13712" width="10.46484375" style="3" customWidth="1"/>
    <col min="13713" max="13713" width="13" style="3" customWidth="1"/>
    <col min="13714" max="13714" width="12.46484375" style="3" customWidth="1"/>
    <col min="13715" max="13723" width="13" style="3" customWidth="1"/>
    <col min="13724" max="13724" width="11.19921875" style="3" customWidth="1"/>
    <col min="13725" max="13728" width="10" style="3" customWidth="1"/>
    <col min="13729" max="13729" width="12.796875" style="3" customWidth="1"/>
    <col min="13730" max="13730" width="14.19921875" style="3" customWidth="1"/>
    <col min="13731" max="13731" width="13.53125" style="3" customWidth="1"/>
    <col min="13732" max="13921" width="9.19921875" style="3"/>
    <col min="13922" max="13922" width="5.46484375" style="3" customWidth="1"/>
    <col min="13923" max="13923" width="54.19921875" style="3" customWidth="1"/>
    <col min="13924" max="13924" width="10.46484375" style="3" customWidth="1"/>
    <col min="13925" max="13925" width="10.53125" style="3" customWidth="1"/>
    <col min="13926" max="13928" width="7.796875" style="3" customWidth="1"/>
    <col min="13929" max="13929" width="13.19921875" style="3" customWidth="1"/>
    <col min="13930" max="13930" width="11.53125" style="3" customWidth="1"/>
    <col min="13931" max="13947" width="9.46484375" style="3" customWidth="1"/>
    <col min="13948" max="13948" width="10.53125" style="3" customWidth="1"/>
    <col min="13949" max="13949" width="10" style="3" customWidth="1"/>
    <col min="13950" max="13954" width="9.46484375" style="3" customWidth="1"/>
    <col min="13955" max="13955" width="12.796875" style="3" customWidth="1"/>
    <col min="13956" max="13956" width="10.796875" style="3" customWidth="1"/>
    <col min="13957" max="13957" width="11.19921875" style="3" customWidth="1"/>
    <col min="13958" max="13960" width="9.796875" style="3" customWidth="1"/>
    <col min="13961" max="13962" width="12.46484375" style="3" customWidth="1"/>
    <col min="13963" max="13963" width="12.796875" style="3" customWidth="1"/>
    <col min="13964" max="13964" width="10.53125" style="3" customWidth="1"/>
    <col min="13965" max="13965" width="10" style="3" customWidth="1"/>
    <col min="13966" max="13968" width="10.46484375" style="3" customWidth="1"/>
    <col min="13969" max="13969" width="13" style="3" customWidth="1"/>
    <col min="13970" max="13970" width="12.46484375" style="3" customWidth="1"/>
    <col min="13971" max="13979" width="13" style="3" customWidth="1"/>
    <col min="13980" max="13980" width="11.19921875" style="3" customWidth="1"/>
    <col min="13981" max="13984" width="10" style="3" customWidth="1"/>
    <col min="13985" max="13985" width="12.796875" style="3" customWidth="1"/>
    <col min="13986" max="13986" width="14.19921875" style="3" customWidth="1"/>
    <col min="13987" max="13987" width="13.53125" style="3" customWidth="1"/>
    <col min="13988" max="14177" width="9.19921875" style="3"/>
    <col min="14178" max="14178" width="5.46484375" style="3" customWidth="1"/>
    <col min="14179" max="14179" width="54.19921875" style="3" customWidth="1"/>
    <col min="14180" max="14180" width="10.46484375" style="3" customWidth="1"/>
    <col min="14181" max="14181" width="10.53125" style="3" customWidth="1"/>
    <col min="14182" max="14184" width="7.796875" style="3" customWidth="1"/>
    <col min="14185" max="14185" width="13.19921875" style="3" customWidth="1"/>
    <col min="14186" max="14186" width="11.53125" style="3" customWidth="1"/>
    <col min="14187" max="14203" width="9.46484375" style="3" customWidth="1"/>
    <col min="14204" max="14204" width="10.53125" style="3" customWidth="1"/>
    <col min="14205" max="14205" width="10" style="3" customWidth="1"/>
    <col min="14206" max="14210" width="9.46484375" style="3" customWidth="1"/>
    <col min="14211" max="14211" width="12.796875" style="3" customWidth="1"/>
    <col min="14212" max="14212" width="10.796875" style="3" customWidth="1"/>
    <col min="14213" max="14213" width="11.19921875" style="3" customWidth="1"/>
    <col min="14214" max="14216" width="9.796875" style="3" customWidth="1"/>
    <col min="14217" max="14218" width="12.46484375" style="3" customWidth="1"/>
    <col min="14219" max="14219" width="12.796875" style="3" customWidth="1"/>
    <col min="14220" max="14220" width="10.53125" style="3" customWidth="1"/>
    <col min="14221" max="14221" width="10" style="3" customWidth="1"/>
    <col min="14222" max="14224" width="10.46484375" style="3" customWidth="1"/>
    <col min="14225" max="14225" width="13" style="3" customWidth="1"/>
    <col min="14226" max="14226" width="12.46484375" style="3" customWidth="1"/>
    <col min="14227" max="14235" width="13" style="3" customWidth="1"/>
    <col min="14236" max="14236" width="11.19921875" style="3" customWidth="1"/>
    <col min="14237" max="14240" width="10" style="3" customWidth="1"/>
    <col min="14241" max="14241" width="12.796875" style="3" customWidth="1"/>
    <col min="14242" max="14242" width="14.19921875" style="3" customWidth="1"/>
    <col min="14243" max="14243" width="13.53125" style="3" customWidth="1"/>
    <col min="14244" max="14433" width="9.19921875" style="3"/>
    <col min="14434" max="14434" width="5.46484375" style="3" customWidth="1"/>
    <col min="14435" max="14435" width="54.19921875" style="3" customWidth="1"/>
    <col min="14436" max="14436" width="10.46484375" style="3" customWidth="1"/>
    <col min="14437" max="14437" width="10.53125" style="3" customWidth="1"/>
    <col min="14438" max="14440" width="7.796875" style="3" customWidth="1"/>
    <col min="14441" max="14441" width="13.19921875" style="3" customWidth="1"/>
    <col min="14442" max="14442" width="11.53125" style="3" customWidth="1"/>
    <col min="14443" max="14459" width="9.46484375" style="3" customWidth="1"/>
    <col min="14460" max="14460" width="10.53125" style="3" customWidth="1"/>
    <col min="14461" max="14461" width="10" style="3" customWidth="1"/>
    <col min="14462" max="14466" width="9.46484375" style="3" customWidth="1"/>
    <col min="14467" max="14467" width="12.796875" style="3" customWidth="1"/>
    <col min="14468" max="14468" width="10.796875" style="3" customWidth="1"/>
    <col min="14469" max="14469" width="11.19921875" style="3" customWidth="1"/>
    <col min="14470" max="14472" width="9.796875" style="3" customWidth="1"/>
    <col min="14473" max="14474" width="12.46484375" style="3" customWidth="1"/>
    <col min="14475" max="14475" width="12.796875" style="3" customWidth="1"/>
    <col min="14476" max="14476" width="10.53125" style="3" customWidth="1"/>
    <col min="14477" max="14477" width="10" style="3" customWidth="1"/>
    <col min="14478" max="14480" width="10.46484375" style="3" customWidth="1"/>
    <col min="14481" max="14481" width="13" style="3" customWidth="1"/>
    <col min="14482" max="14482" width="12.46484375" style="3" customWidth="1"/>
    <col min="14483" max="14491" width="13" style="3" customWidth="1"/>
    <col min="14492" max="14492" width="11.19921875" style="3" customWidth="1"/>
    <col min="14493" max="14496" width="10" style="3" customWidth="1"/>
    <col min="14497" max="14497" width="12.796875" style="3" customWidth="1"/>
    <col min="14498" max="14498" width="14.19921875" style="3" customWidth="1"/>
    <col min="14499" max="14499" width="13.53125" style="3" customWidth="1"/>
    <col min="14500" max="14689" width="9.19921875" style="3"/>
    <col min="14690" max="14690" width="5.46484375" style="3" customWidth="1"/>
    <col min="14691" max="14691" width="54.19921875" style="3" customWidth="1"/>
    <col min="14692" max="14692" width="10.46484375" style="3" customWidth="1"/>
    <col min="14693" max="14693" width="10.53125" style="3" customWidth="1"/>
    <col min="14694" max="14696" width="7.796875" style="3" customWidth="1"/>
    <col min="14697" max="14697" width="13.19921875" style="3" customWidth="1"/>
    <col min="14698" max="14698" width="11.53125" style="3" customWidth="1"/>
    <col min="14699" max="14715" width="9.46484375" style="3" customWidth="1"/>
    <col min="14716" max="14716" width="10.53125" style="3" customWidth="1"/>
    <col min="14717" max="14717" width="10" style="3" customWidth="1"/>
    <col min="14718" max="14722" width="9.46484375" style="3" customWidth="1"/>
    <col min="14723" max="14723" width="12.796875" style="3" customWidth="1"/>
    <col min="14724" max="14724" width="10.796875" style="3" customWidth="1"/>
    <col min="14725" max="14725" width="11.19921875" style="3" customWidth="1"/>
    <col min="14726" max="14728" width="9.796875" style="3" customWidth="1"/>
    <col min="14729" max="14730" width="12.46484375" style="3" customWidth="1"/>
    <col min="14731" max="14731" width="12.796875" style="3" customWidth="1"/>
    <col min="14732" max="14732" width="10.53125" style="3" customWidth="1"/>
    <col min="14733" max="14733" width="10" style="3" customWidth="1"/>
    <col min="14734" max="14736" width="10.46484375" style="3" customWidth="1"/>
    <col min="14737" max="14737" width="13" style="3" customWidth="1"/>
    <col min="14738" max="14738" width="12.46484375" style="3" customWidth="1"/>
    <col min="14739" max="14747" width="13" style="3" customWidth="1"/>
    <col min="14748" max="14748" width="11.19921875" style="3" customWidth="1"/>
    <col min="14749" max="14752" width="10" style="3" customWidth="1"/>
    <col min="14753" max="14753" width="12.796875" style="3" customWidth="1"/>
    <col min="14754" max="14754" width="14.19921875" style="3" customWidth="1"/>
    <col min="14755" max="14755" width="13.53125" style="3" customWidth="1"/>
    <col min="14756" max="14945" width="9.19921875" style="3"/>
    <col min="14946" max="14946" width="5.46484375" style="3" customWidth="1"/>
    <col min="14947" max="14947" width="54.19921875" style="3" customWidth="1"/>
    <col min="14948" max="14948" width="10.46484375" style="3" customWidth="1"/>
    <col min="14949" max="14949" width="10.53125" style="3" customWidth="1"/>
    <col min="14950" max="14952" width="7.796875" style="3" customWidth="1"/>
    <col min="14953" max="14953" width="13.19921875" style="3" customWidth="1"/>
    <col min="14954" max="14954" width="11.53125" style="3" customWidth="1"/>
    <col min="14955" max="14971" width="9.46484375" style="3" customWidth="1"/>
    <col min="14972" max="14972" width="10.53125" style="3" customWidth="1"/>
    <col min="14973" max="14973" width="10" style="3" customWidth="1"/>
    <col min="14974" max="14978" width="9.46484375" style="3" customWidth="1"/>
    <col min="14979" max="14979" width="12.796875" style="3" customWidth="1"/>
    <col min="14980" max="14980" width="10.796875" style="3" customWidth="1"/>
    <col min="14981" max="14981" width="11.19921875" style="3" customWidth="1"/>
    <col min="14982" max="14984" width="9.796875" style="3" customWidth="1"/>
    <col min="14985" max="14986" width="12.46484375" style="3" customWidth="1"/>
    <col min="14987" max="14987" width="12.796875" style="3" customWidth="1"/>
    <col min="14988" max="14988" width="10.53125" style="3" customWidth="1"/>
    <col min="14989" max="14989" width="10" style="3" customWidth="1"/>
    <col min="14990" max="14992" width="10.46484375" style="3" customWidth="1"/>
    <col min="14993" max="14993" width="13" style="3" customWidth="1"/>
    <col min="14994" max="14994" width="12.46484375" style="3" customWidth="1"/>
    <col min="14995" max="15003" width="13" style="3" customWidth="1"/>
    <col min="15004" max="15004" width="11.19921875" style="3" customWidth="1"/>
    <col min="15005" max="15008" width="10" style="3" customWidth="1"/>
    <col min="15009" max="15009" width="12.796875" style="3" customWidth="1"/>
    <col min="15010" max="15010" width="14.19921875" style="3" customWidth="1"/>
    <col min="15011" max="15011" width="13.53125" style="3" customWidth="1"/>
    <col min="15012" max="15201" width="9.19921875" style="3"/>
    <col min="15202" max="15202" width="5.46484375" style="3" customWidth="1"/>
    <col min="15203" max="15203" width="54.19921875" style="3" customWidth="1"/>
    <col min="15204" max="15204" width="10.46484375" style="3" customWidth="1"/>
    <col min="15205" max="15205" width="10.53125" style="3" customWidth="1"/>
    <col min="15206" max="15208" width="7.796875" style="3" customWidth="1"/>
    <col min="15209" max="15209" width="13.19921875" style="3" customWidth="1"/>
    <col min="15210" max="15210" width="11.53125" style="3" customWidth="1"/>
    <col min="15211" max="15227" width="9.46484375" style="3" customWidth="1"/>
    <col min="15228" max="15228" width="10.53125" style="3" customWidth="1"/>
    <col min="15229" max="15229" width="10" style="3" customWidth="1"/>
    <col min="15230" max="15234" width="9.46484375" style="3" customWidth="1"/>
    <col min="15235" max="15235" width="12.796875" style="3" customWidth="1"/>
    <col min="15236" max="15236" width="10.796875" style="3" customWidth="1"/>
    <col min="15237" max="15237" width="11.19921875" style="3" customWidth="1"/>
    <col min="15238" max="15240" width="9.796875" style="3" customWidth="1"/>
    <col min="15241" max="15242" width="12.46484375" style="3" customWidth="1"/>
    <col min="15243" max="15243" width="12.796875" style="3" customWidth="1"/>
    <col min="15244" max="15244" width="10.53125" style="3" customWidth="1"/>
    <col min="15245" max="15245" width="10" style="3" customWidth="1"/>
    <col min="15246" max="15248" width="10.46484375" style="3" customWidth="1"/>
    <col min="15249" max="15249" width="13" style="3" customWidth="1"/>
    <col min="15250" max="15250" width="12.46484375" style="3" customWidth="1"/>
    <col min="15251" max="15259" width="13" style="3" customWidth="1"/>
    <col min="15260" max="15260" width="11.19921875" style="3" customWidth="1"/>
    <col min="15261" max="15264" width="10" style="3" customWidth="1"/>
    <col min="15265" max="15265" width="12.796875" style="3" customWidth="1"/>
    <col min="15266" max="15266" width="14.19921875" style="3" customWidth="1"/>
    <col min="15267" max="15267" width="13.53125" style="3" customWidth="1"/>
    <col min="15268" max="15457" width="9.19921875" style="3"/>
    <col min="15458" max="15458" width="5.46484375" style="3" customWidth="1"/>
    <col min="15459" max="15459" width="54.19921875" style="3" customWidth="1"/>
    <col min="15460" max="15460" width="10.46484375" style="3" customWidth="1"/>
    <col min="15461" max="15461" width="10.53125" style="3" customWidth="1"/>
    <col min="15462" max="15464" width="7.796875" style="3" customWidth="1"/>
    <col min="15465" max="15465" width="13.19921875" style="3" customWidth="1"/>
    <col min="15466" max="15466" width="11.53125" style="3" customWidth="1"/>
    <col min="15467" max="15483" width="9.46484375" style="3" customWidth="1"/>
    <col min="15484" max="15484" width="10.53125" style="3" customWidth="1"/>
    <col min="15485" max="15485" width="10" style="3" customWidth="1"/>
    <col min="15486" max="15490" width="9.46484375" style="3" customWidth="1"/>
    <col min="15491" max="15491" width="12.796875" style="3" customWidth="1"/>
    <col min="15492" max="15492" width="10.796875" style="3" customWidth="1"/>
    <col min="15493" max="15493" width="11.19921875" style="3" customWidth="1"/>
    <col min="15494" max="15496" width="9.796875" style="3" customWidth="1"/>
    <col min="15497" max="15498" width="12.46484375" style="3" customWidth="1"/>
    <col min="15499" max="15499" width="12.796875" style="3" customWidth="1"/>
    <col min="15500" max="15500" width="10.53125" style="3" customWidth="1"/>
    <col min="15501" max="15501" width="10" style="3" customWidth="1"/>
    <col min="15502" max="15504" width="10.46484375" style="3" customWidth="1"/>
    <col min="15505" max="15505" width="13" style="3" customWidth="1"/>
    <col min="15506" max="15506" width="12.46484375" style="3" customWidth="1"/>
    <col min="15507" max="15515" width="13" style="3" customWidth="1"/>
    <col min="15516" max="15516" width="11.19921875" style="3" customWidth="1"/>
    <col min="15517" max="15520" width="10" style="3" customWidth="1"/>
    <col min="15521" max="15521" width="12.796875" style="3" customWidth="1"/>
    <col min="15522" max="15522" width="14.19921875" style="3" customWidth="1"/>
    <col min="15523" max="15523" width="13.53125" style="3" customWidth="1"/>
    <col min="15524" max="15713" width="9.19921875" style="3"/>
    <col min="15714" max="15714" width="5.46484375" style="3" customWidth="1"/>
    <col min="15715" max="15715" width="54.19921875" style="3" customWidth="1"/>
    <col min="15716" max="15716" width="10.46484375" style="3" customWidth="1"/>
    <col min="15717" max="15717" width="10.53125" style="3" customWidth="1"/>
    <col min="15718" max="15720" width="7.796875" style="3" customWidth="1"/>
    <col min="15721" max="15721" width="13.19921875" style="3" customWidth="1"/>
    <col min="15722" max="15722" width="11.53125" style="3" customWidth="1"/>
    <col min="15723" max="15739" width="9.46484375" style="3" customWidth="1"/>
    <col min="15740" max="15740" width="10.53125" style="3" customWidth="1"/>
    <col min="15741" max="15741" width="10" style="3" customWidth="1"/>
    <col min="15742" max="15746" width="9.46484375" style="3" customWidth="1"/>
    <col min="15747" max="15747" width="12.796875" style="3" customWidth="1"/>
    <col min="15748" max="15748" width="10.796875" style="3" customWidth="1"/>
    <col min="15749" max="15749" width="11.19921875" style="3" customWidth="1"/>
    <col min="15750" max="15752" width="9.796875" style="3" customWidth="1"/>
    <col min="15753" max="15754" width="12.46484375" style="3" customWidth="1"/>
    <col min="15755" max="15755" width="12.796875" style="3" customWidth="1"/>
    <col min="15756" max="15756" width="10.53125" style="3" customWidth="1"/>
    <col min="15757" max="15757" width="10" style="3" customWidth="1"/>
    <col min="15758" max="15760" width="10.46484375" style="3" customWidth="1"/>
    <col min="15761" max="15761" width="13" style="3" customWidth="1"/>
    <col min="15762" max="15762" width="12.46484375" style="3" customWidth="1"/>
    <col min="15763" max="15771" width="13" style="3" customWidth="1"/>
    <col min="15772" max="15772" width="11.19921875" style="3" customWidth="1"/>
    <col min="15773" max="15776" width="10" style="3" customWidth="1"/>
    <col min="15777" max="15777" width="12.796875" style="3" customWidth="1"/>
    <col min="15778" max="15778" width="14.19921875" style="3" customWidth="1"/>
    <col min="15779" max="15779" width="13.53125" style="3" customWidth="1"/>
    <col min="15780" max="15969" width="9.19921875" style="3"/>
    <col min="15970" max="15970" width="5.46484375" style="3" customWidth="1"/>
    <col min="15971" max="15971" width="54.19921875" style="3" customWidth="1"/>
    <col min="15972" max="15972" width="10.46484375" style="3" customWidth="1"/>
    <col min="15973" max="15973" width="10.53125" style="3" customWidth="1"/>
    <col min="15974" max="15976" width="7.796875" style="3" customWidth="1"/>
    <col min="15977" max="15977" width="13.19921875" style="3" customWidth="1"/>
    <col min="15978" max="15978" width="11.53125" style="3" customWidth="1"/>
    <col min="15979" max="15995" width="9.46484375" style="3" customWidth="1"/>
    <col min="15996" max="15996" width="10.53125" style="3" customWidth="1"/>
    <col min="15997" max="15997" width="10" style="3" customWidth="1"/>
    <col min="15998" max="16002" width="9.46484375" style="3" customWidth="1"/>
    <col min="16003" max="16003" width="12.796875" style="3" customWidth="1"/>
    <col min="16004" max="16004" width="10.796875" style="3" customWidth="1"/>
    <col min="16005" max="16005" width="11.19921875" style="3" customWidth="1"/>
    <col min="16006" max="16008" width="9.796875" style="3" customWidth="1"/>
    <col min="16009" max="16010" width="12.46484375" style="3" customWidth="1"/>
    <col min="16011" max="16011" width="12.796875" style="3" customWidth="1"/>
    <col min="16012" max="16012" width="10.53125" style="3" customWidth="1"/>
    <col min="16013" max="16013" width="10" style="3" customWidth="1"/>
    <col min="16014" max="16016" width="10.46484375" style="3" customWidth="1"/>
    <col min="16017" max="16017" width="13" style="3" customWidth="1"/>
    <col min="16018" max="16018" width="12.46484375" style="3" customWidth="1"/>
    <col min="16019" max="16027" width="13" style="3" customWidth="1"/>
    <col min="16028" max="16028" width="11.19921875" style="3" customWidth="1"/>
    <col min="16029" max="16032" width="10" style="3" customWidth="1"/>
    <col min="16033" max="16033" width="12.796875" style="3" customWidth="1"/>
    <col min="16034" max="16034" width="14.19921875" style="3" customWidth="1"/>
    <col min="16035" max="16035" width="13.53125" style="3" customWidth="1"/>
    <col min="16036" max="16384" width="9.19921875" style="3"/>
  </cols>
  <sheetData>
    <row r="1" spans="1:45">
      <c r="A1" s="1507" t="s">
        <v>1790</v>
      </c>
      <c r="B1" s="1507"/>
      <c r="C1" s="1507"/>
    </row>
    <row r="2" spans="1:45">
      <c r="A2" s="159" t="str">
        <f>+'BS1'!A2</f>
        <v>NIDP DEVELOPERS PRIVATE LIMITED</v>
      </c>
      <c r="B2" s="159"/>
    </row>
    <row r="3" spans="1:45">
      <c r="A3" s="158" t="s">
        <v>1460</v>
      </c>
      <c r="B3" s="158"/>
      <c r="C3" s="55"/>
      <c r="D3" s="55"/>
      <c r="E3" s="55"/>
      <c r="F3" s="55"/>
      <c r="G3" s="55"/>
      <c r="H3" s="55"/>
      <c r="I3" s="55"/>
      <c r="J3" s="55"/>
      <c r="K3" s="55"/>
      <c r="L3" s="55"/>
      <c r="M3" s="55"/>
      <c r="N3" s="55"/>
      <c r="O3" s="55"/>
    </row>
    <row r="4" spans="1:45">
      <c r="A4" s="20"/>
    </row>
    <row r="5" spans="1:45" ht="16.5" customHeight="1">
      <c r="A5" s="1583" t="s">
        <v>74</v>
      </c>
      <c r="B5" s="1583" t="s">
        <v>10</v>
      </c>
      <c r="C5" s="1681"/>
      <c r="D5" s="1682"/>
      <c r="E5" s="1682"/>
      <c r="F5" s="1682"/>
      <c r="G5" s="1682"/>
      <c r="H5" s="1682"/>
      <c r="I5" s="1682"/>
      <c r="J5" s="1682"/>
      <c r="K5" s="1682"/>
      <c r="L5" s="1682"/>
      <c r="M5" s="1682"/>
      <c r="N5" s="1682"/>
      <c r="O5" s="1682"/>
    </row>
    <row r="6" spans="1:45" ht="18" customHeight="1">
      <c r="A6" s="1584"/>
      <c r="B6" s="1584"/>
      <c r="C6" s="1683" t="s">
        <v>343</v>
      </c>
      <c r="D6" s="1683"/>
      <c r="E6" s="1683"/>
      <c r="F6" s="1683"/>
      <c r="G6" s="1683"/>
      <c r="H6" s="1683"/>
      <c r="I6" s="1683"/>
      <c r="J6" s="1683"/>
      <c r="K6" s="1683"/>
      <c r="L6" s="1683"/>
      <c r="M6" s="1683"/>
      <c r="N6" s="1683"/>
      <c r="O6" s="1683"/>
      <c r="P6" s="1683" t="s">
        <v>1442</v>
      </c>
      <c r="Q6" s="1683"/>
      <c r="R6" s="1683"/>
      <c r="S6" s="1683"/>
      <c r="T6" s="1683"/>
      <c r="U6" s="1683"/>
      <c r="V6" s="1683"/>
      <c r="W6" s="1683"/>
      <c r="X6" s="1683"/>
      <c r="Y6" s="1683"/>
      <c r="Z6" s="1683"/>
      <c r="AA6" s="1683"/>
      <c r="AB6" s="1683"/>
      <c r="AC6" s="1683" t="s">
        <v>2024</v>
      </c>
      <c r="AD6" s="1683"/>
      <c r="AE6" s="1683"/>
      <c r="AF6" s="1683"/>
      <c r="AG6" s="1683"/>
      <c r="AH6" s="1683"/>
      <c r="AI6" s="1683"/>
      <c r="AJ6" s="1683"/>
      <c r="AK6" s="1683"/>
      <c r="AL6" s="1683"/>
      <c r="AM6" s="1683"/>
      <c r="AN6" s="1683"/>
      <c r="AO6" s="1683"/>
    </row>
    <row r="7" spans="1:45" ht="18.75" customHeight="1">
      <c r="A7" s="1584"/>
      <c r="B7" s="1584"/>
      <c r="C7" s="1683"/>
      <c r="D7" s="1683"/>
      <c r="E7" s="1683"/>
      <c r="F7" s="1683"/>
      <c r="G7" s="1683"/>
      <c r="H7" s="1683"/>
      <c r="I7" s="1683"/>
      <c r="J7" s="1683"/>
      <c r="K7" s="1683"/>
      <c r="L7" s="1683"/>
      <c r="M7" s="1683"/>
      <c r="N7" s="1683"/>
      <c r="O7" s="1683"/>
      <c r="P7" s="1683"/>
      <c r="Q7" s="1683"/>
      <c r="R7" s="1683"/>
      <c r="S7" s="1683"/>
      <c r="T7" s="1683"/>
      <c r="U7" s="1683"/>
      <c r="V7" s="1683"/>
      <c r="W7" s="1683"/>
      <c r="X7" s="1683"/>
      <c r="Y7" s="1683"/>
      <c r="Z7" s="1683"/>
      <c r="AA7" s="1683"/>
      <c r="AB7" s="1683"/>
      <c r="AC7" s="1683"/>
      <c r="AD7" s="1683"/>
      <c r="AE7" s="1683"/>
      <c r="AF7" s="1683"/>
      <c r="AG7" s="1683"/>
      <c r="AH7" s="1683"/>
      <c r="AI7" s="1683"/>
      <c r="AJ7" s="1683"/>
      <c r="AK7" s="1683"/>
      <c r="AL7" s="1683"/>
      <c r="AM7" s="1683"/>
      <c r="AN7" s="1683"/>
      <c r="AO7" s="1683"/>
    </row>
    <row r="8" spans="1:45" ht="99.75">
      <c r="A8" s="1680"/>
      <c r="B8" s="1680"/>
      <c r="C8" s="146" t="s">
        <v>184</v>
      </c>
      <c r="D8" s="146" t="s">
        <v>2113</v>
      </c>
      <c r="E8" s="146" t="s">
        <v>2114</v>
      </c>
      <c r="F8" s="146" t="s">
        <v>601</v>
      </c>
      <c r="G8" s="146" t="s">
        <v>1461</v>
      </c>
      <c r="H8" s="146" t="s">
        <v>1462</v>
      </c>
      <c r="I8" s="146" t="s">
        <v>1463</v>
      </c>
      <c r="J8" s="146" t="s">
        <v>187</v>
      </c>
      <c r="K8" s="146" t="s">
        <v>1391</v>
      </c>
      <c r="L8" s="146" t="s">
        <v>1392</v>
      </c>
      <c r="M8" s="146" t="s">
        <v>2064</v>
      </c>
      <c r="N8" s="146" t="s">
        <v>2116</v>
      </c>
      <c r="O8" s="146" t="s">
        <v>528</v>
      </c>
      <c r="P8" s="146" t="s">
        <v>184</v>
      </c>
      <c r="Q8" s="146" t="s">
        <v>185</v>
      </c>
      <c r="R8" s="146" t="s">
        <v>186</v>
      </c>
      <c r="S8" s="146" t="s">
        <v>601</v>
      </c>
      <c r="T8" s="146" t="s">
        <v>1461</v>
      </c>
      <c r="U8" s="146" t="s">
        <v>1462</v>
      </c>
      <c r="V8" s="146" t="s">
        <v>1463</v>
      </c>
      <c r="W8" s="146" t="s">
        <v>187</v>
      </c>
      <c r="X8" s="146" t="s">
        <v>1391</v>
      </c>
      <c r="Y8" s="146" t="s">
        <v>1392</v>
      </c>
      <c r="Z8" s="146" t="s">
        <v>2064</v>
      </c>
      <c r="AA8" s="146" t="s">
        <v>1464</v>
      </c>
      <c r="AB8" s="146" t="s">
        <v>528</v>
      </c>
      <c r="AC8" s="146" t="s">
        <v>184</v>
      </c>
      <c r="AD8" s="146" t="s">
        <v>185</v>
      </c>
      <c r="AE8" s="146" t="s">
        <v>186</v>
      </c>
      <c r="AF8" s="146" t="s">
        <v>601</v>
      </c>
      <c r="AG8" s="146" t="s">
        <v>1461</v>
      </c>
      <c r="AH8" s="146" t="s">
        <v>1462</v>
      </c>
      <c r="AI8" s="146" t="s">
        <v>1463</v>
      </c>
      <c r="AJ8" s="146" t="s">
        <v>187</v>
      </c>
      <c r="AK8" s="146" t="s">
        <v>1391</v>
      </c>
      <c r="AL8" s="146" t="s">
        <v>1392</v>
      </c>
      <c r="AM8" s="146" t="s">
        <v>2064</v>
      </c>
      <c r="AN8" s="146" t="s">
        <v>1464</v>
      </c>
      <c r="AO8" s="146" t="s">
        <v>528</v>
      </c>
      <c r="AQ8" s="146" t="s">
        <v>2065</v>
      </c>
    </row>
    <row r="9" spans="1:45" ht="12.75" customHeight="1">
      <c r="A9" s="51"/>
      <c r="B9" s="50"/>
      <c r="C9" s="50"/>
      <c r="D9" s="50"/>
      <c r="E9" s="50"/>
      <c r="F9" s="50"/>
      <c r="G9" s="50"/>
      <c r="H9" s="50"/>
      <c r="I9" s="50"/>
      <c r="J9" s="50"/>
      <c r="K9" s="175"/>
      <c r="L9" s="50"/>
      <c r="M9" s="50"/>
      <c r="N9" s="50"/>
      <c r="O9" s="50"/>
      <c r="P9" s="50"/>
      <c r="Q9" s="50"/>
      <c r="R9" s="50"/>
      <c r="S9" s="50"/>
      <c r="T9" s="50"/>
      <c r="U9" s="50"/>
      <c r="V9" s="50"/>
      <c r="W9" s="50"/>
      <c r="X9" s="175"/>
      <c r="Y9" s="50"/>
      <c r="Z9" s="50"/>
      <c r="AA9" s="50"/>
      <c r="AB9" s="50"/>
      <c r="AC9" s="50"/>
      <c r="AD9" s="50"/>
      <c r="AE9" s="50"/>
      <c r="AF9" s="50"/>
      <c r="AG9" s="50"/>
      <c r="AH9" s="50"/>
      <c r="AI9" s="50"/>
      <c r="AJ9" s="50"/>
      <c r="AK9" s="175"/>
      <c r="AL9" s="50"/>
      <c r="AM9" s="50"/>
      <c r="AN9" s="50"/>
      <c r="AO9" s="50"/>
    </row>
    <row r="10" spans="1:45">
      <c r="A10" s="30">
        <v>1</v>
      </c>
      <c r="B10" s="729" t="s">
        <v>2035</v>
      </c>
      <c r="C10" s="773">
        <f>+'ESR2_Sales Forecast'!X11</f>
        <v>1</v>
      </c>
      <c r="D10" s="775">
        <f>+'ESR2_Sales Forecast'!Z11</f>
        <v>20.441292298297707</v>
      </c>
      <c r="E10" s="773">
        <f>+'ESR2_Sales Forecast'!Y11</f>
        <v>30</v>
      </c>
      <c r="F10" s="924">
        <f>(D10*1000)/(E21*365*24)*1000</f>
        <v>0.7282645064145824</v>
      </c>
      <c r="G10" s="1068">
        <v>8.02</v>
      </c>
      <c r="H10" s="773">
        <v>400</v>
      </c>
      <c r="I10" s="31"/>
      <c r="J10" s="775">
        <f>+D10*G10/10/'[3]Summary '!D18</f>
        <v>16.745455084171397</v>
      </c>
      <c r="K10" s="775">
        <f>+'[3]Summary '!D24</f>
        <v>2.9144606887575359</v>
      </c>
      <c r="L10" s="31"/>
      <c r="M10" s="775">
        <f>+'[3]Summary '!D30</f>
        <v>-1.861685607047276</v>
      </c>
      <c r="N10" s="775">
        <f>+'[3]Summary '!D33+'[3]Summary '!D36</f>
        <v>0</v>
      </c>
      <c r="O10" s="777">
        <f>SUM(J10:N10)</f>
        <v>17.798230165881655</v>
      </c>
      <c r="P10" s="773">
        <f>+'ESR2_Sales Forecast'!AA11</f>
        <v>1</v>
      </c>
      <c r="Q10" s="775">
        <f>+'ESR2_Sales Forecast'!AC11</f>
        <v>0.25949106808950156</v>
      </c>
      <c r="R10" s="773">
        <f>+'ESR2_Sales Forecast'!AB11</f>
        <v>35</v>
      </c>
      <c r="S10" s="924">
        <f>(Q10*1000)/(R21*365*24)*1000</f>
        <v>0.84635051562133568</v>
      </c>
      <c r="T10" s="779">
        <v>8.02</v>
      </c>
      <c r="U10" s="773">
        <v>400</v>
      </c>
      <c r="V10" s="31"/>
      <c r="W10" s="775">
        <f>+Q10*T10/10/'[3]Summary '!E18</f>
        <v>0.21025686043792666</v>
      </c>
      <c r="X10" s="775">
        <f>+'[3]Summary '!E24</f>
        <v>1.4473600000000001E-2</v>
      </c>
      <c r="Y10" s="31"/>
      <c r="Z10" s="671">
        <f>+'[3]Summary '!E30</f>
        <v>-2.2473072345162538E-2</v>
      </c>
      <c r="AA10" s="671">
        <f>+'[3]Summary '!E33</f>
        <v>0</v>
      </c>
      <c r="AB10" s="777">
        <f>SUM(W10:AA10)</f>
        <v>0.20225738809276411</v>
      </c>
      <c r="AC10" s="773">
        <f>+'ESR2_Sales Forecast'!AD11</f>
        <v>1</v>
      </c>
      <c r="AD10" s="775">
        <f>+'ESR2_Sales Forecast'!AF11</f>
        <v>0.26060999999999995</v>
      </c>
      <c r="AE10" s="773">
        <f>+'ESR2_Sales Forecast'!AE11</f>
        <v>35</v>
      </c>
      <c r="AF10" s="924">
        <f>+AD10*1000/(AE21*365*24)*1000</f>
        <v>0.84999999999999987</v>
      </c>
      <c r="AG10" s="779">
        <f>+T10</f>
        <v>8.02</v>
      </c>
      <c r="AH10" s="783">
        <f t="shared" ref="AH10:AH11" si="0">+U10</f>
        <v>400</v>
      </c>
      <c r="AI10" s="31"/>
      <c r="AJ10" s="775">
        <f>+AD10*AG10/10/AQ10</f>
        <v>0.21112042424242419</v>
      </c>
      <c r="AK10" s="775">
        <f>+AH10*AE10*12/10^7</f>
        <v>1.6799999999999999E-2</v>
      </c>
      <c r="AL10" s="31"/>
      <c r="AM10" s="671">
        <f>-SUM(AJ10:AK10)*10%</f>
        <v>-2.2792042424242421E-2</v>
      </c>
      <c r="AN10" s="671">
        <f>+N10/D10*AD10</f>
        <v>0</v>
      </c>
      <c r="AO10" s="777">
        <f>SUM(AJ10:AN10)</f>
        <v>0.20512838181818177</v>
      </c>
      <c r="AQ10" s="782">
        <f>+[3]Assumption!$F$28</f>
        <v>0.99</v>
      </c>
      <c r="AR10" s="780"/>
      <c r="AS10" s="781"/>
    </row>
    <row r="11" spans="1:45">
      <c r="A11" s="5">
        <v>2</v>
      </c>
      <c r="B11" s="728" t="s">
        <v>2038</v>
      </c>
      <c r="C11" s="773">
        <f>+'ESR2_Sales Forecast'!X12</f>
        <v>4</v>
      </c>
      <c r="D11" s="775">
        <f>+'ESR2_Sales Forecast'!Z12</f>
        <v>17.098748077840021</v>
      </c>
      <c r="E11" s="773">
        <f>+'ESR2_Sales Forecast'!Y12</f>
        <v>8060</v>
      </c>
      <c r="F11" s="924">
        <f>(D11*1000)/(E22*365*24)*1000</f>
        <v>0.58121445589041165</v>
      </c>
      <c r="G11" s="1068">
        <v>7</v>
      </c>
      <c r="H11" s="773">
        <v>300</v>
      </c>
      <c r="I11" s="31"/>
      <c r="J11" s="775">
        <f>+D11*G11/10/'[3]Summary '!D19</f>
        <v>12.445285999999999</v>
      </c>
      <c r="K11" s="775">
        <f>+'[3]Summary '!D25</f>
        <v>1.008855120479452</v>
      </c>
      <c r="L11" s="31"/>
      <c r="M11" s="775">
        <f>+'[3]Summary '!D31</f>
        <v>-1.3443168835753421</v>
      </c>
      <c r="N11" s="775">
        <f>+'[3]Summary '!D34+'[3]Summary '!D37</f>
        <v>-6.1875299999999966E-3</v>
      </c>
      <c r="O11" s="777">
        <f t="shared" ref="O11:O12" si="1">SUM(J11:N11)</f>
        <v>12.10363670690411</v>
      </c>
      <c r="P11" s="773">
        <f>+'ESR2_Sales Forecast'!AA12</f>
        <v>4</v>
      </c>
      <c r="Q11" s="775">
        <f>+'ESR2_Sales Forecast'!AC12</f>
        <v>60.897968118295069</v>
      </c>
      <c r="R11" s="773">
        <f>+'ESR2_Sales Forecast'!AB12</f>
        <v>10659</v>
      </c>
      <c r="S11" s="924">
        <f>(Q11*1000)/(R22*365*24)*1000</f>
        <v>0.7801175867082879</v>
      </c>
      <c r="T11" s="779">
        <v>7</v>
      </c>
      <c r="U11" s="773">
        <v>300</v>
      </c>
      <c r="V11" s="31"/>
      <c r="W11" s="775">
        <f>+Q11*T11/10/'[3]Summary '!E19</f>
        <v>43.169801673387887</v>
      </c>
      <c r="X11" s="775">
        <f>+'[3]Summary '!E25</f>
        <v>3.3852479000000004</v>
      </c>
      <c r="Y11" s="31"/>
      <c r="Z11" s="671">
        <f>+'[3]Summary '!E31</f>
        <v>-4.6139586349415298</v>
      </c>
      <c r="AA11" s="671">
        <f>+'[3]Summary '!E34</f>
        <v>-0.46880576494310078</v>
      </c>
      <c r="AB11" s="777">
        <f t="shared" ref="AB11:AB12" si="2">SUM(W11:AA11)</f>
        <v>41.472285173503259</v>
      </c>
      <c r="AC11" s="773">
        <f>+'ESR2_Sales Forecast'!AD12</f>
        <v>4</v>
      </c>
      <c r="AD11" s="775">
        <f>+'ESR2_Sales Forecast'!AF12</f>
        <v>100.7306112</v>
      </c>
      <c r="AE11" s="773">
        <f>+'ESR2_Sales Forecast'!AE12</f>
        <v>16556</v>
      </c>
      <c r="AF11" s="924">
        <f>(AD11*1000)/(AE22*365*24)*1000</f>
        <v>0.79967510825676014</v>
      </c>
      <c r="AG11" s="779">
        <f t="shared" ref="AG11" si="3">+T11</f>
        <v>7</v>
      </c>
      <c r="AH11" s="783">
        <f t="shared" si="0"/>
        <v>300</v>
      </c>
      <c r="AI11" s="31"/>
      <c r="AJ11" s="775">
        <f>+AD11*AG11/10/AQ11</f>
        <v>71.223664484848484</v>
      </c>
      <c r="AK11" s="775">
        <f>+AH11*AE22*12/10^7</f>
        <v>5.1766199999999998</v>
      </c>
      <c r="AL11" s="31"/>
      <c r="AM11" s="671">
        <f>-SUM(AJ11:AK11)*10%</f>
        <v>-7.6400284484848484</v>
      </c>
      <c r="AN11" s="671">
        <f>+AA11/Q11*AD11</f>
        <v>-0.77544608951600202</v>
      </c>
      <c r="AO11" s="777">
        <f t="shared" ref="AO11:AO12" si="4">SUM(AJ11:AN11)</f>
        <v>67.984809946847648</v>
      </c>
      <c r="AQ11" s="782">
        <f>+[3]Assumption!$F$28</f>
        <v>0.99</v>
      </c>
      <c r="AR11" s="780"/>
      <c r="AS11" s="781"/>
    </row>
    <row r="12" spans="1:45">
      <c r="A12" s="30">
        <v>3</v>
      </c>
      <c r="B12" s="729" t="s">
        <v>2039</v>
      </c>
      <c r="C12" s="773">
        <f>+'ESR2_Sales Forecast'!X13</f>
        <v>0</v>
      </c>
      <c r="D12" s="775">
        <f>+'ESR2_Sales Forecast'!Z13</f>
        <v>0</v>
      </c>
      <c r="E12" s="773">
        <f>+'ESR2_Sales Forecast'!Y13</f>
        <v>0</v>
      </c>
      <c r="F12" s="28"/>
      <c r="G12" s="28"/>
      <c r="H12" s="779"/>
      <c r="I12" s="28"/>
      <c r="J12" s="775">
        <f>+Working!R37</f>
        <v>0</v>
      </c>
      <c r="K12" s="775">
        <f>+Working!R31</f>
        <v>0</v>
      </c>
      <c r="L12" s="28"/>
      <c r="M12" s="775">
        <f>+Working!R67</f>
        <v>0</v>
      </c>
      <c r="N12" s="775">
        <f>+Working!R49</f>
        <v>0</v>
      </c>
      <c r="O12" s="777">
        <f t="shared" si="1"/>
        <v>0</v>
      </c>
      <c r="P12" s="773">
        <f>+'ESR2_Sales Forecast'!AA13</f>
        <v>0</v>
      </c>
      <c r="Q12" s="773">
        <f>+'ESR2_Sales Forecast'!AC13</f>
        <v>0</v>
      </c>
      <c r="R12" s="773">
        <f>+'ESR2_Sales Forecast'!AB13</f>
        <v>0</v>
      </c>
      <c r="S12" s="28"/>
      <c r="T12" s="28"/>
      <c r="U12" s="28"/>
      <c r="V12" s="28"/>
      <c r="W12" s="28"/>
      <c r="X12" s="31"/>
      <c r="Y12" s="28"/>
      <c r="Z12" s="28"/>
      <c r="AA12" s="28"/>
      <c r="AB12" s="777">
        <f t="shared" si="2"/>
        <v>0</v>
      </c>
      <c r="AC12" s="773">
        <f>+'ESR2_Sales Forecast'!AD13</f>
        <v>0</v>
      </c>
      <c r="AD12" s="773">
        <f>+'ESR2_Sales Forecast'!AF13</f>
        <v>0</v>
      </c>
      <c r="AE12" s="773">
        <f>+'ESR2_Sales Forecast'!AE13</f>
        <v>0</v>
      </c>
      <c r="AF12" s="28"/>
      <c r="AG12" s="28"/>
      <c r="AH12" s="28"/>
      <c r="AI12" s="28"/>
      <c r="AJ12" s="28"/>
      <c r="AK12" s="31"/>
      <c r="AL12" s="28"/>
      <c r="AM12" s="28"/>
      <c r="AN12" s="28"/>
      <c r="AO12" s="777">
        <f t="shared" si="4"/>
        <v>0</v>
      </c>
    </row>
    <row r="13" spans="1:45">
      <c r="A13" s="5"/>
      <c r="B13" s="28"/>
      <c r="C13" s="7"/>
      <c r="D13" s="7"/>
      <c r="E13" s="7"/>
      <c r="F13" s="7"/>
      <c r="G13" s="7"/>
      <c r="H13" s="779"/>
      <c r="I13" s="7"/>
      <c r="J13" s="7"/>
      <c r="K13" s="31"/>
      <c r="L13" s="7"/>
      <c r="M13" s="7"/>
      <c r="N13" s="7"/>
      <c r="O13" s="7"/>
      <c r="P13" s="7"/>
      <c r="Q13" s="7"/>
      <c r="R13" s="7"/>
      <c r="S13" s="7"/>
      <c r="T13" s="7"/>
      <c r="U13" s="7"/>
      <c r="V13" s="7"/>
      <c r="W13" s="7"/>
      <c r="X13" s="31"/>
      <c r="Y13" s="7"/>
      <c r="Z13" s="7"/>
      <c r="AA13" s="7"/>
      <c r="AB13" s="7"/>
      <c r="AC13" s="7"/>
      <c r="AD13" s="7"/>
      <c r="AE13" s="7"/>
      <c r="AF13" s="7"/>
      <c r="AG13" s="7"/>
      <c r="AH13" s="7"/>
      <c r="AI13" s="7"/>
      <c r="AJ13" s="7"/>
      <c r="AK13" s="31"/>
      <c r="AL13" s="7"/>
      <c r="AM13" s="7"/>
      <c r="AN13" s="7"/>
      <c r="AO13" s="7"/>
    </row>
    <row r="14" spans="1:45" customFormat="1">
      <c r="A14" s="5"/>
      <c r="B14" s="28"/>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row>
    <row r="15" spans="1:45">
      <c r="A15" s="28"/>
      <c r="B15" s="28"/>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row>
    <row r="16" spans="1:45">
      <c r="A16" s="28"/>
      <c r="B16" s="42" t="s">
        <v>223</v>
      </c>
      <c r="C16" s="774">
        <f>SUM(C10:C15)</f>
        <v>5</v>
      </c>
      <c r="D16" s="132">
        <f>SUM(D10:D15)</f>
        <v>37.540040376137725</v>
      </c>
      <c r="E16" s="774">
        <f>SUM(E10:E15)</f>
        <v>8090</v>
      </c>
      <c r="F16" s="925">
        <f>(D16*1000)/(E23*365*24)*1000</f>
        <v>0.65301222659078451</v>
      </c>
      <c r="G16" s="161"/>
      <c r="H16" s="161"/>
      <c r="I16" s="161"/>
      <c r="J16" s="132">
        <f t="shared" ref="J16:R16" si="5">SUM(J10:J15)</f>
        <v>29.190741084171396</v>
      </c>
      <c r="K16" s="132">
        <f t="shared" si="5"/>
        <v>3.9233158092369882</v>
      </c>
      <c r="L16" s="132">
        <f t="shared" si="5"/>
        <v>0</v>
      </c>
      <c r="M16" s="132">
        <f t="shared" si="5"/>
        <v>-3.2060024906226179</v>
      </c>
      <c r="N16" s="132">
        <f t="shared" si="5"/>
        <v>-6.1875299999999966E-3</v>
      </c>
      <c r="O16" s="132">
        <f t="shared" si="5"/>
        <v>29.901866872785767</v>
      </c>
      <c r="P16" s="774">
        <f t="shared" si="5"/>
        <v>5</v>
      </c>
      <c r="Q16" s="132">
        <f t="shared" si="5"/>
        <v>61.157459186384571</v>
      </c>
      <c r="R16" s="774">
        <f t="shared" si="5"/>
        <v>10694</v>
      </c>
      <c r="S16" s="925">
        <f>(Q16*1000)/(R23*365*24)*1000</f>
        <v>0.78037670673198023</v>
      </c>
      <c r="T16" s="161"/>
      <c r="U16" s="161"/>
      <c r="V16" s="161"/>
      <c r="W16" s="132">
        <f t="shared" ref="W16:AE16" si="6">SUM(W10:W15)</f>
        <v>43.380058533825817</v>
      </c>
      <c r="X16" s="132">
        <f t="shared" si="6"/>
        <v>3.3997215000000005</v>
      </c>
      <c r="Y16" s="132">
        <f t="shared" si="6"/>
        <v>0</v>
      </c>
      <c r="Z16" s="132">
        <f t="shared" si="6"/>
        <v>-4.6364317072866923</v>
      </c>
      <c r="AA16" s="132">
        <f t="shared" si="6"/>
        <v>-0.46880576494310078</v>
      </c>
      <c r="AB16" s="132">
        <f t="shared" si="6"/>
        <v>41.67454256159602</v>
      </c>
      <c r="AC16" s="774">
        <f t="shared" si="6"/>
        <v>5</v>
      </c>
      <c r="AD16" s="132">
        <f t="shared" si="6"/>
        <v>100.9912212</v>
      </c>
      <c r="AE16" s="774">
        <f t="shared" si="6"/>
        <v>16591</v>
      </c>
      <c r="AF16" s="925">
        <f>(AD16*1000)/(AE23*365*24)*1000</f>
        <v>0.79979730265899496</v>
      </c>
      <c r="AG16" s="161"/>
      <c r="AH16" s="161"/>
      <c r="AI16" s="161"/>
      <c r="AJ16" s="132">
        <f>SUM(AJ10:AJ15)</f>
        <v>71.434784909090908</v>
      </c>
      <c r="AK16" s="132">
        <f>SUM(AK10:AK15)</f>
        <v>5.1934199999999997</v>
      </c>
      <c r="AL16" s="132">
        <f>SUM(AL10:AL15)</f>
        <v>0</v>
      </c>
      <c r="AM16" s="132"/>
      <c r="AN16" s="132">
        <f>SUM(AN10:AN15)</f>
        <v>-0.77544608951600202</v>
      </c>
      <c r="AO16" s="132">
        <f>SUM(AO10:AO15)</f>
        <v>68.189938328665832</v>
      </c>
    </row>
    <row r="17" spans="1:31">
      <c r="A17" s="3" t="s">
        <v>1791</v>
      </c>
      <c r="D17" s="782"/>
      <c r="AD17" s="780"/>
    </row>
    <row r="18" spans="1:31">
      <c r="A18" s="1507" t="s">
        <v>1384</v>
      </c>
      <c r="B18" s="1507"/>
      <c r="C18" s="1507"/>
      <c r="D18" s="1507"/>
      <c r="E18" s="1507"/>
      <c r="F18" s="1507"/>
      <c r="G18" s="1507"/>
      <c r="K18" s="782"/>
      <c r="AD18" s="780"/>
    </row>
    <row r="19" spans="1:31">
      <c r="A19" s="20" t="s">
        <v>2115</v>
      </c>
      <c r="K19" s="782"/>
    </row>
    <row r="20" spans="1:31" ht="28.5">
      <c r="E20" s="146" t="s">
        <v>2112</v>
      </c>
      <c r="J20" s="20"/>
      <c r="K20" s="784"/>
      <c r="L20" s="20"/>
      <c r="M20" s="20"/>
      <c r="N20" s="20"/>
      <c r="O20" s="20"/>
      <c r="R20" s="146" t="s">
        <v>2112</v>
      </c>
      <c r="AE20" s="146" t="s">
        <v>2112</v>
      </c>
    </row>
    <row r="21" spans="1:31">
      <c r="B21" s="729" t="s">
        <v>2035</v>
      </c>
      <c r="E21" s="780">
        <f>+'[3]Summary '!D9</f>
        <v>3204.1666666666665</v>
      </c>
      <c r="R21" s="780">
        <f>+'[3]Summary '!$E9</f>
        <v>35</v>
      </c>
      <c r="AD21" s="782"/>
      <c r="AE21" s="780">
        <f>+'[3]Summary '!F9</f>
        <v>35</v>
      </c>
    </row>
    <row r="22" spans="1:31">
      <c r="B22" s="728" t="s">
        <v>2038</v>
      </c>
      <c r="E22" s="780">
        <f>+'[3]Summary '!D10</f>
        <v>3358.3333333333335</v>
      </c>
      <c r="R22" s="780">
        <f>+'[3]Summary '!$E10</f>
        <v>8911.25</v>
      </c>
      <c r="AD22" s="782"/>
      <c r="AE22" s="780">
        <f>+'[3]Summary '!F10</f>
        <v>14379.5</v>
      </c>
    </row>
    <row r="23" spans="1:31">
      <c r="B23" s="20" t="s">
        <v>143</v>
      </c>
      <c r="E23" s="784">
        <f>+E21+E22</f>
        <v>6562.5</v>
      </c>
      <c r="R23" s="784">
        <f>+R21+R22</f>
        <v>8946.25</v>
      </c>
      <c r="AE23" s="784">
        <f>+AE21+AE22</f>
        <v>14414.5</v>
      </c>
    </row>
  </sheetData>
  <mergeCells count="11">
    <mergeCell ref="P6:AB6"/>
    <mergeCell ref="P7:AB7"/>
    <mergeCell ref="AC6:AO6"/>
    <mergeCell ref="AC7:AO7"/>
    <mergeCell ref="A18:G18"/>
    <mergeCell ref="A1:C1"/>
    <mergeCell ref="A5:A8"/>
    <mergeCell ref="B5:B8"/>
    <mergeCell ref="C5:O5"/>
    <mergeCell ref="C6:O6"/>
    <mergeCell ref="C7:O7"/>
  </mergeCells>
  <printOptions horizontalCentered="1"/>
  <pageMargins left="0.19685039370078741" right="0.19685039370078741" top="0.51181102362204722" bottom="0.51181102362204722" header="0.31496062992125984" footer="0.31496062992125984"/>
  <pageSetup paperSize="5" scale="70" fitToHeight="3" orientation="landscape" r:id="rId1"/>
  <colBreaks count="2" manualBreakCount="2">
    <brk id="15" max="1048575" man="1"/>
    <brk id="2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0B607-977E-4BEF-BF2F-79F0A565A957}">
  <sheetPr>
    <tabColor rgb="FF00FFFF"/>
  </sheetPr>
  <dimension ref="A1:Q22"/>
  <sheetViews>
    <sheetView showGridLines="0" view="pageBreakPreview" zoomScaleNormal="80" zoomScaleSheetLayoutView="100" workbookViewId="0">
      <selection activeCell="F10" sqref="F10:F12"/>
    </sheetView>
  </sheetViews>
  <sheetFormatPr defaultRowHeight="14.25"/>
  <cols>
    <col min="1" max="1" width="5.46484375" style="3" customWidth="1"/>
    <col min="2" max="2" width="33.53125" style="3" bestFit="1" customWidth="1"/>
    <col min="3" max="3" width="10.53125" style="3" bestFit="1" customWidth="1"/>
    <col min="4" max="4" width="14.19921875" style="3" bestFit="1" customWidth="1"/>
    <col min="5" max="5" width="18" style="3" customWidth="1"/>
    <col min="6" max="6" width="7.19921875" style="3" customWidth="1"/>
    <col min="7" max="7" width="11.796875" style="3" customWidth="1"/>
    <col min="8" max="8" width="14" style="3" customWidth="1"/>
    <col min="9" max="9" width="13.19921875" style="3" customWidth="1"/>
    <col min="10" max="10" width="7.19921875" style="3" bestFit="1" customWidth="1"/>
    <col min="11" max="11" width="11.19921875" style="3" customWidth="1"/>
    <col min="12" max="12" width="9.796875" style="3" bestFit="1" customWidth="1"/>
    <col min="13" max="14" width="9.796875" style="3" customWidth="1"/>
    <col min="15" max="15" width="8.19921875" style="3" bestFit="1" customWidth="1"/>
    <col min="16" max="95" width="8.796875" style="3"/>
    <col min="96" max="96" width="5.46484375" style="3" customWidth="1"/>
    <col min="97" max="97" width="54.19921875" style="3" customWidth="1"/>
    <col min="98" max="98" width="10.46484375" style="3" customWidth="1"/>
    <col min="99" max="99" width="10.53125" style="3" customWidth="1"/>
    <col min="100" max="102" width="7.796875" style="3" customWidth="1"/>
    <col min="103" max="103" width="13.19921875" style="3" customWidth="1"/>
    <col min="104" max="104" width="11.53125" style="3" customWidth="1"/>
    <col min="105" max="121" width="9.46484375" style="3" customWidth="1"/>
    <col min="122" max="122" width="10.53125" style="3" customWidth="1"/>
    <col min="123" max="123" width="10" style="3" customWidth="1"/>
    <col min="124" max="128" width="9.46484375" style="3" customWidth="1"/>
    <col min="129" max="129" width="12.796875" style="3" customWidth="1"/>
    <col min="130" max="130" width="10.796875" style="3" customWidth="1"/>
    <col min="131" max="131" width="11.19921875" style="3" customWidth="1"/>
    <col min="132" max="134" width="9.796875" style="3" customWidth="1"/>
    <col min="135" max="136" width="12.46484375" style="3" customWidth="1"/>
    <col min="137" max="137" width="12.796875" style="3" customWidth="1"/>
    <col min="138" max="138" width="10.53125" style="3" customWidth="1"/>
    <col min="139" max="139" width="10" style="3" customWidth="1"/>
    <col min="140" max="142" width="10.46484375" style="3" customWidth="1"/>
    <col min="143" max="143" width="13" style="3" customWidth="1"/>
    <col min="144" max="144" width="12.46484375" style="3" customWidth="1"/>
    <col min="145" max="153" width="13" style="3" customWidth="1"/>
    <col min="154" max="154" width="11.19921875" style="3" customWidth="1"/>
    <col min="155" max="158" width="10" style="3" customWidth="1"/>
    <col min="159" max="159" width="12.796875" style="3" customWidth="1"/>
    <col min="160" max="160" width="14.19921875" style="3" customWidth="1"/>
    <col min="161" max="161" width="13.53125" style="3" customWidth="1"/>
    <col min="162" max="351" width="8.796875" style="3"/>
    <col min="352" max="352" width="5.46484375" style="3" customWidth="1"/>
    <col min="353" max="353" width="54.19921875" style="3" customWidth="1"/>
    <col min="354" max="354" width="10.46484375" style="3" customWidth="1"/>
    <col min="355" max="355" width="10.53125" style="3" customWidth="1"/>
    <col min="356" max="358" width="7.796875" style="3" customWidth="1"/>
    <col min="359" max="359" width="13.19921875" style="3" customWidth="1"/>
    <col min="360" max="360" width="11.53125" style="3" customWidth="1"/>
    <col min="361" max="377" width="9.46484375" style="3" customWidth="1"/>
    <col min="378" max="378" width="10.53125" style="3" customWidth="1"/>
    <col min="379" max="379" width="10" style="3" customWidth="1"/>
    <col min="380" max="384" width="9.46484375" style="3" customWidth="1"/>
    <col min="385" max="385" width="12.796875" style="3" customWidth="1"/>
    <col min="386" max="386" width="10.796875" style="3" customWidth="1"/>
    <col min="387" max="387" width="11.19921875" style="3" customWidth="1"/>
    <col min="388" max="390" width="9.796875" style="3" customWidth="1"/>
    <col min="391" max="392" width="12.46484375" style="3" customWidth="1"/>
    <col min="393" max="393" width="12.796875" style="3" customWidth="1"/>
    <col min="394" max="394" width="10.53125" style="3" customWidth="1"/>
    <col min="395" max="395" width="10" style="3" customWidth="1"/>
    <col min="396" max="398" width="10.46484375" style="3" customWidth="1"/>
    <col min="399" max="399" width="13" style="3" customWidth="1"/>
    <col min="400" max="400" width="12.46484375" style="3" customWidth="1"/>
    <col min="401" max="409" width="13" style="3" customWidth="1"/>
    <col min="410" max="410" width="11.19921875" style="3" customWidth="1"/>
    <col min="411" max="414" width="10" style="3" customWidth="1"/>
    <col min="415" max="415" width="12.796875" style="3" customWidth="1"/>
    <col min="416" max="416" width="14.19921875" style="3" customWidth="1"/>
    <col min="417" max="417" width="13.53125" style="3" customWidth="1"/>
    <col min="418" max="607" width="8.796875" style="3"/>
    <col min="608" max="608" width="5.46484375" style="3" customWidth="1"/>
    <col min="609" max="609" width="54.19921875" style="3" customWidth="1"/>
    <col min="610" max="610" width="10.46484375" style="3" customWidth="1"/>
    <col min="611" max="611" width="10.53125" style="3" customWidth="1"/>
    <col min="612" max="614" width="7.796875" style="3" customWidth="1"/>
    <col min="615" max="615" width="13.19921875" style="3" customWidth="1"/>
    <col min="616" max="616" width="11.53125" style="3" customWidth="1"/>
    <col min="617" max="633" width="9.46484375" style="3" customWidth="1"/>
    <col min="634" max="634" width="10.53125" style="3" customWidth="1"/>
    <col min="635" max="635" width="10" style="3" customWidth="1"/>
    <col min="636" max="640" width="9.46484375" style="3" customWidth="1"/>
    <col min="641" max="641" width="12.796875" style="3" customWidth="1"/>
    <col min="642" max="642" width="10.796875" style="3" customWidth="1"/>
    <col min="643" max="643" width="11.19921875" style="3" customWidth="1"/>
    <col min="644" max="646" width="9.796875" style="3" customWidth="1"/>
    <col min="647" max="648" width="12.46484375" style="3" customWidth="1"/>
    <col min="649" max="649" width="12.796875" style="3" customWidth="1"/>
    <col min="650" max="650" width="10.53125" style="3" customWidth="1"/>
    <col min="651" max="651" width="10" style="3" customWidth="1"/>
    <col min="652" max="654" width="10.46484375" style="3" customWidth="1"/>
    <col min="655" max="655" width="13" style="3" customWidth="1"/>
    <col min="656" max="656" width="12.46484375" style="3" customWidth="1"/>
    <col min="657" max="665" width="13" style="3" customWidth="1"/>
    <col min="666" max="666" width="11.19921875" style="3" customWidth="1"/>
    <col min="667" max="670" width="10" style="3" customWidth="1"/>
    <col min="671" max="671" width="12.796875" style="3" customWidth="1"/>
    <col min="672" max="672" width="14.19921875" style="3" customWidth="1"/>
    <col min="673" max="673" width="13.53125" style="3" customWidth="1"/>
    <col min="674" max="863" width="8.796875" style="3"/>
    <col min="864" max="864" width="5.46484375" style="3" customWidth="1"/>
    <col min="865" max="865" width="54.19921875" style="3" customWidth="1"/>
    <col min="866" max="866" width="10.46484375" style="3" customWidth="1"/>
    <col min="867" max="867" width="10.53125" style="3" customWidth="1"/>
    <col min="868" max="870" width="7.796875" style="3" customWidth="1"/>
    <col min="871" max="871" width="13.19921875" style="3" customWidth="1"/>
    <col min="872" max="872" width="11.53125" style="3" customWidth="1"/>
    <col min="873" max="889" width="9.46484375" style="3" customWidth="1"/>
    <col min="890" max="890" width="10.53125" style="3" customWidth="1"/>
    <col min="891" max="891" width="10" style="3" customWidth="1"/>
    <col min="892" max="896" width="9.46484375" style="3" customWidth="1"/>
    <col min="897" max="897" width="12.796875" style="3" customWidth="1"/>
    <col min="898" max="898" width="10.796875" style="3" customWidth="1"/>
    <col min="899" max="899" width="11.19921875" style="3" customWidth="1"/>
    <col min="900" max="902" width="9.796875" style="3" customWidth="1"/>
    <col min="903" max="904" width="12.46484375" style="3" customWidth="1"/>
    <col min="905" max="905" width="12.796875" style="3" customWidth="1"/>
    <col min="906" max="906" width="10.53125" style="3" customWidth="1"/>
    <col min="907" max="907" width="10" style="3" customWidth="1"/>
    <col min="908" max="910" width="10.46484375" style="3" customWidth="1"/>
    <col min="911" max="911" width="13" style="3" customWidth="1"/>
    <col min="912" max="912" width="12.46484375" style="3" customWidth="1"/>
    <col min="913" max="921" width="13" style="3" customWidth="1"/>
    <col min="922" max="922" width="11.19921875" style="3" customWidth="1"/>
    <col min="923" max="926" width="10" style="3" customWidth="1"/>
    <col min="927" max="927" width="12.796875" style="3" customWidth="1"/>
    <col min="928" max="928" width="14.19921875" style="3" customWidth="1"/>
    <col min="929" max="929" width="13.53125" style="3" customWidth="1"/>
    <col min="930" max="1119" width="8.796875" style="3"/>
    <col min="1120" max="1120" width="5.46484375" style="3" customWidth="1"/>
    <col min="1121" max="1121" width="54.19921875" style="3" customWidth="1"/>
    <col min="1122" max="1122" width="10.46484375" style="3" customWidth="1"/>
    <col min="1123" max="1123" width="10.53125" style="3" customWidth="1"/>
    <col min="1124" max="1126" width="7.796875" style="3" customWidth="1"/>
    <col min="1127" max="1127" width="13.19921875" style="3" customWidth="1"/>
    <col min="1128" max="1128" width="11.53125" style="3" customWidth="1"/>
    <col min="1129" max="1145" width="9.46484375" style="3" customWidth="1"/>
    <col min="1146" max="1146" width="10.53125" style="3" customWidth="1"/>
    <col min="1147" max="1147" width="10" style="3" customWidth="1"/>
    <col min="1148" max="1152" width="9.46484375" style="3" customWidth="1"/>
    <col min="1153" max="1153" width="12.796875" style="3" customWidth="1"/>
    <col min="1154" max="1154" width="10.796875" style="3" customWidth="1"/>
    <col min="1155" max="1155" width="11.19921875" style="3" customWidth="1"/>
    <col min="1156" max="1158" width="9.796875" style="3" customWidth="1"/>
    <col min="1159" max="1160" width="12.46484375" style="3" customWidth="1"/>
    <col min="1161" max="1161" width="12.796875" style="3" customWidth="1"/>
    <col min="1162" max="1162" width="10.53125" style="3" customWidth="1"/>
    <col min="1163" max="1163" width="10" style="3" customWidth="1"/>
    <col min="1164" max="1166" width="10.46484375" style="3" customWidth="1"/>
    <col min="1167" max="1167" width="13" style="3" customWidth="1"/>
    <col min="1168" max="1168" width="12.46484375" style="3" customWidth="1"/>
    <col min="1169" max="1177" width="13" style="3" customWidth="1"/>
    <col min="1178" max="1178" width="11.19921875" style="3" customWidth="1"/>
    <col min="1179" max="1182" width="10" style="3" customWidth="1"/>
    <col min="1183" max="1183" width="12.796875" style="3" customWidth="1"/>
    <col min="1184" max="1184" width="14.19921875" style="3" customWidth="1"/>
    <col min="1185" max="1185" width="13.53125" style="3" customWidth="1"/>
    <col min="1186" max="1375" width="8.796875" style="3"/>
    <col min="1376" max="1376" width="5.46484375" style="3" customWidth="1"/>
    <col min="1377" max="1377" width="54.19921875" style="3" customWidth="1"/>
    <col min="1378" max="1378" width="10.46484375" style="3" customWidth="1"/>
    <col min="1379" max="1379" width="10.53125" style="3" customWidth="1"/>
    <col min="1380" max="1382" width="7.796875" style="3" customWidth="1"/>
    <col min="1383" max="1383" width="13.19921875" style="3" customWidth="1"/>
    <col min="1384" max="1384" width="11.53125" style="3" customWidth="1"/>
    <col min="1385" max="1401" width="9.46484375" style="3" customWidth="1"/>
    <col min="1402" max="1402" width="10.53125" style="3" customWidth="1"/>
    <col min="1403" max="1403" width="10" style="3" customWidth="1"/>
    <col min="1404" max="1408" width="9.46484375" style="3" customWidth="1"/>
    <col min="1409" max="1409" width="12.796875" style="3" customWidth="1"/>
    <col min="1410" max="1410" width="10.796875" style="3" customWidth="1"/>
    <col min="1411" max="1411" width="11.19921875" style="3" customWidth="1"/>
    <col min="1412" max="1414" width="9.796875" style="3" customWidth="1"/>
    <col min="1415" max="1416" width="12.46484375" style="3" customWidth="1"/>
    <col min="1417" max="1417" width="12.796875" style="3" customWidth="1"/>
    <col min="1418" max="1418" width="10.53125" style="3" customWidth="1"/>
    <col min="1419" max="1419" width="10" style="3" customWidth="1"/>
    <col min="1420" max="1422" width="10.46484375" style="3" customWidth="1"/>
    <col min="1423" max="1423" width="13" style="3" customWidth="1"/>
    <col min="1424" max="1424" width="12.46484375" style="3" customWidth="1"/>
    <col min="1425" max="1433" width="13" style="3" customWidth="1"/>
    <col min="1434" max="1434" width="11.19921875" style="3" customWidth="1"/>
    <col min="1435" max="1438" width="10" style="3" customWidth="1"/>
    <col min="1439" max="1439" width="12.796875" style="3" customWidth="1"/>
    <col min="1440" max="1440" width="14.19921875" style="3" customWidth="1"/>
    <col min="1441" max="1441" width="13.53125" style="3" customWidth="1"/>
    <col min="1442" max="1631" width="8.796875" style="3"/>
    <col min="1632" max="1632" width="5.46484375" style="3" customWidth="1"/>
    <col min="1633" max="1633" width="54.19921875" style="3" customWidth="1"/>
    <col min="1634" max="1634" width="10.46484375" style="3" customWidth="1"/>
    <col min="1635" max="1635" width="10.53125" style="3" customWidth="1"/>
    <col min="1636" max="1638" width="7.796875" style="3" customWidth="1"/>
    <col min="1639" max="1639" width="13.19921875" style="3" customWidth="1"/>
    <col min="1640" max="1640" width="11.53125" style="3" customWidth="1"/>
    <col min="1641" max="1657" width="9.46484375" style="3" customWidth="1"/>
    <col min="1658" max="1658" width="10.53125" style="3" customWidth="1"/>
    <col min="1659" max="1659" width="10" style="3" customWidth="1"/>
    <col min="1660" max="1664" width="9.46484375" style="3" customWidth="1"/>
    <col min="1665" max="1665" width="12.796875" style="3" customWidth="1"/>
    <col min="1666" max="1666" width="10.796875" style="3" customWidth="1"/>
    <col min="1667" max="1667" width="11.19921875" style="3" customWidth="1"/>
    <col min="1668" max="1670" width="9.796875" style="3" customWidth="1"/>
    <col min="1671" max="1672" width="12.46484375" style="3" customWidth="1"/>
    <col min="1673" max="1673" width="12.796875" style="3" customWidth="1"/>
    <col min="1674" max="1674" width="10.53125" style="3" customWidth="1"/>
    <col min="1675" max="1675" width="10" style="3" customWidth="1"/>
    <col min="1676" max="1678" width="10.46484375" style="3" customWidth="1"/>
    <col min="1679" max="1679" width="13" style="3" customWidth="1"/>
    <col min="1680" max="1680" width="12.46484375" style="3" customWidth="1"/>
    <col min="1681" max="1689" width="13" style="3" customWidth="1"/>
    <col min="1690" max="1690" width="11.19921875" style="3" customWidth="1"/>
    <col min="1691" max="1694" width="10" style="3" customWidth="1"/>
    <col min="1695" max="1695" width="12.796875" style="3" customWidth="1"/>
    <col min="1696" max="1696" width="14.19921875" style="3" customWidth="1"/>
    <col min="1697" max="1697" width="13.53125" style="3" customWidth="1"/>
    <col min="1698" max="1887" width="8.796875" style="3"/>
    <col min="1888" max="1888" width="5.46484375" style="3" customWidth="1"/>
    <col min="1889" max="1889" width="54.19921875" style="3" customWidth="1"/>
    <col min="1890" max="1890" width="10.46484375" style="3" customWidth="1"/>
    <col min="1891" max="1891" width="10.53125" style="3" customWidth="1"/>
    <col min="1892" max="1894" width="7.796875" style="3" customWidth="1"/>
    <col min="1895" max="1895" width="13.19921875" style="3" customWidth="1"/>
    <col min="1896" max="1896" width="11.53125" style="3" customWidth="1"/>
    <col min="1897" max="1913" width="9.46484375" style="3" customWidth="1"/>
    <col min="1914" max="1914" width="10.53125" style="3" customWidth="1"/>
    <col min="1915" max="1915" width="10" style="3" customWidth="1"/>
    <col min="1916" max="1920" width="9.46484375" style="3" customWidth="1"/>
    <col min="1921" max="1921" width="12.796875" style="3" customWidth="1"/>
    <col min="1922" max="1922" width="10.796875" style="3" customWidth="1"/>
    <col min="1923" max="1923" width="11.19921875" style="3" customWidth="1"/>
    <col min="1924" max="1926" width="9.796875" style="3" customWidth="1"/>
    <col min="1927" max="1928" width="12.46484375" style="3" customWidth="1"/>
    <col min="1929" max="1929" width="12.796875" style="3" customWidth="1"/>
    <col min="1930" max="1930" width="10.53125" style="3" customWidth="1"/>
    <col min="1931" max="1931" width="10" style="3" customWidth="1"/>
    <col min="1932" max="1934" width="10.46484375" style="3" customWidth="1"/>
    <col min="1935" max="1935" width="13" style="3" customWidth="1"/>
    <col min="1936" max="1936" width="12.46484375" style="3" customWidth="1"/>
    <col min="1937" max="1945" width="13" style="3" customWidth="1"/>
    <col min="1946" max="1946" width="11.19921875" style="3" customWidth="1"/>
    <col min="1947" max="1950" width="10" style="3" customWidth="1"/>
    <col min="1951" max="1951" width="12.796875" style="3" customWidth="1"/>
    <col min="1952" max="1952" width="14.19921875" style="3" customWidth="1"/>
    <col min="1953" max="1953" width="13.53125" style="3" customWidth="1"/>
    <col min="1954" max="2143" width="8.796875" style="3"/>
    <col min="2144" max="2144" width="5.46484375" style="3" customWidth="1"/>
    <col min="2145" max="2145" width="54.19921875" style="3" customWidth="1"/>
    <col min="2146" max="2146" width="10.46484375" style="3" customWidth="1"/>
    <col min="2147" max="2147" width="10.53125" style="3" customWidth="1"/>
    <col min="2148" max="2150" width="7.796875" style="3" customWidth="1"/>
    <col min="2151" max="2151" width="13.19921875" style="3" customWidth="1"/>
    <col min="2152" max="2152" width="11.53125" style="3" customWidth="1"/>
    <col min="2153" max="2169" width="9.46484375" style="3" customWidth="1"/>
    <col min="2170" max="2170" width="10.53125" style="3" customWidth="1"/>
    <col min="2171" max="2171" width="10" style="3" customWidth="1"/>
    <col min="2172" max="2176" width="9.46484375" style="3" customWidth="1"/>
    <col min="2177" max="2177" width="12.796875" style="3" customWidth="1"/>
    <col min="2178" max="2178" width="10.796875" style="3" customWidth="1"/>
    <col min="2179" max="2179" width="11.19921875" style="3" customWidth="1"/>
    <col min="2180" max="2182" width="9.796875" style="3" customWidth="1"/>
    <col min="2183" max="2184" width="12.46484375" style="3" customWidth="1"/>
    <col min="2185" max="2185" width="12.796875" style="3" customWidth="1"/>
    <col min="2186" max="2186" width="10.53125" style="3" customWidth="1"/>
    <col min="2187" max="2187" width="10" style="3" customWidth="1"/>
    <col min="2188" max="2190" width="10.46484375" style="3" customWidth="1"/>
    <col min="2191" max="2191" width="13" style="3" customWidth="1"/>
    <col min="2192" max="2192" width="12.46484375" style="3" customWidth="1"/>
    <col min="2193" max="2201" width="13" style="3" customWidth="1"/>
    <col min="2202" max="2202" width="11.19921875" style="3" customWidth="1"/>
    <col min="2203" max="2206" width="10" style="3" customWidth="1"/>
    <col min="2207" max="2207" width="12.796875" style="3" customWidth="1"/>
    <col min="2208" max="2208" width="14.19921875" style="3" customWidth="1"/>
    <col min="2209" max="2209" width="13.53125" style="3" customWidth="1"/>
    <col min="2210" max="2399" width="8.796875" style="3"/>
    <col min="2400" max="2400" width="5.46484375" style="3" customWidth="1"/>
    <col min="2401" max="2401" width="54.19921875" style="3" customWidth="1"/>
    <col min="2402" max="2402" width="10.46484375" style="3" customWidth="1"/>
    <col min="2403" max="2403" width="10.53125" style="3" customWidth="1"/>
    <col min="2404" max="2406" width="7.796875" style="3" customWidth="1"/>
    <col min="2407" max="2407" width="13.19921875" style="3" customWidth="1"/>
    <col min="2408" max="2408" width="11.53125" style="3" customWidth="1"/>
    <col min="2409" max="2425" width="9.46484375" style="3" customWidth="1"/>
    <col min="2426" max="2426" width="10.53125" style="3" customWidth="1"/>
    <col min="2427" max="2427" width="10" style="3" customWidth="1"/>
    <col min="2428" max="2432" width="9.46484375" style="3" customWidth="1"/>
    <col min="2433" max="2433" width="12.796875" style="3" customWidth="1"/>
    <col min="2434" max="2434" width="10.796875" style="3" customWidth="1"/>
    <col min="2435" max="2435" width="11.19921875" style="3" customWidth="1"/>
    <col min="2436" max="2438" width="9.796875" style="3" customWidth="1"/>
    <col min="2439" max="2440" width="12.46484375" style="3" customWidth="1"/>
    <col min="2441" max="2441" width="12.796875" style="3" customWidth="1"/>
    <col min="2442" max="2442" width="10.53125" style="3" customWidth="1"/>
    <col min="2443" max="2443" width="10" style="3" customWidth="1"/>
    <col min="2444" max="2446" width="10.46484375" style="3" customWidth="1"/>
    <col min="2447" max="2447" width="13" style="3" customWidth="1"/>
    <col min="2448" max="2448" width="12.46484375" style="3" customWidth="1"/>
    <col min="2449" max="2457" width="13" style="3" customWidth="1"/>
    <col min="2458" max="2458" width="11.19921875" style="3" customWidth="1"/>
    <col min="2459" max="2462" width="10" style="3" customWidth="1"/>
    <col min="2463" max="2463" width="12.796875" style="3" customWidth="1"/>
    <col min="2464" max="2464" width="14.19921875" style="3" customWidth="1"/>
    <col min="2465" max="2465" width="13.53125" style="3" customWidth="1"/>
    <col min="2466" max="2655" width="8.796875" style="3"/>
    <col min="2656" max="2656" width="5.46484375" style="3" customWidth="1"/>
    <col min="2657" max="2657" width="54.19921875" style="3" customWidth="1"/>
    <col min="2658" max="2658" width="10.46484375" style="3" customWidth="1"/>
    <col min="2659" max="2659" width="10.53125" style="3" customWidth="1"/>
    <col min="2660" max="2662" width="7.796875" style="3" customWidth="1"/>
    <col min="2663" max="2663" width="13.19921875" style="3" customWidth="1"/>
    <col min="2664" max="2664" width="11.53125" style="3" customWidth="1"/>
    <col min="2665" max="2681" width="9.46484375" style="3" customWidth="1"/>
    <col min="2682" max="2682" width="10.53125" style="3" customWidth="1"/>
    <col min="2683" max="2683" width="10" style="3" customWidth="1"/>
    <col min="2684" max="2688" width="9.46484375" style="3" customWidth="1"/>
    <col min="2689" max="2689" width="12.796875" style="3" customWidth="1"/>
    <col min="2690" max="2690" width="10.796875" style="3" customWidth="1"/>
    <col min="2691" max="2691" width="11.19921875" style="3" customWidth="1"/>
    <col min="2692" max="2694" width="9.796875" style="3" customWidth="1"/>
    <col min="2695" max="2696" width="12.46484375" style="3" customWidth="1"/>
    <col min="2697" max="2697" width="12.796875" style="3" customWidth="1"/>
    <col min="2698" max="2698" width="10.53125" style="3" customWidth="1"/>
    <col min="2699" max="2699" width="10" style="3" customWidth="1"/>
    <col min="2700" max="2702" width="10.46484375" style="3" customWidth="1"/>
    <col min="2703" max="2703" width="13" style="3" customWidth="1"/>
    <col min="2704" max="2704" width="12.46484375" style="3" customWidth="1"/>
    <col min="2705" max="2713" width="13" style="3" customWidth="1"/>
    <col min="2714" max="2714" width="11.19921875" style="3" customWidth="1"/>
    <col min="2715" max="2718" width="10" style="3" customWidth="1"/>
    <col min="2719" max="2719" width="12.796875" style="3" customWidth="1"/>
    <col min="2720" max="2720" width="14.19921875" style="3" customWidth="1"/>
    <col min="2721" max="2721" width="13.53125" style="3" customWidth="1"/>
    <col min="2722" max="2911" width="8.796875" style="3"/>
    <col min="2912" max="2912" width="5.46484375" style="3" customWidth="1"/>
    <col min="2913" max="2913" width="54.19921875" style="3" customWidth="1"/>
    <col min="2914" max="2914" width="10.46484375" style="3" customWidth="1"/>
    <col min="2915" max="2915" width="10.53125" style="3" customWidth="1"/>
    <col min="2916" max="2918" width="7.796875" style="3" customWidth="1"/>
    <col min="2919" max="2919" width="13.19921875" style="3" customWidth="1"/>
    <col min="2920" max="2920" width="11.53125" style="3" customWidth="1"/>
    <col min="2921" max="2937" width="9.46484375" style="3" customWidth="1"/>
    <col min="2938" max="2938" width="10.53125" style="3" customWidth="1"/>
    <col min="2939" max="2939" width="10" style="3" customWidth="1"/>
    <col min="2940" max="2944" width="9.46484375" style="3" customWidth="1"/>
    <col min="2945" max="2945" width="12.796875" style="3" customWidth="1"/>
    <col min="2946" max="2946" width="10.796875" style="3" customWidth="1"/>
    <col min="2947" max="2947" width="11.19921875" style="3" customWidth="1"/>
    <col min="2948" max="2950" width="9.796875" style="3" customWidth="1"/>
    <col min="2951" max="2952" width="12.46484375" style="3" customWidth="1"/>
    <col min="2953" max="2953" width="12.796875" style="3" customWidth="1"/>
    <col min="2954" max="2954" width="10.53125" style="3" customWidth="1"/>
    <col min="2955" max="2955" width="10" style="3" customWidth="1"/>
    <col min="2956" max="2958" width="10.46484375" style="3" customWidth="1"/>
    <col min="2959" max="2959" width="13" style="3" customWidth="1"/>
    <col min="2960" max="2960" width="12.46484375" style="3" customWidth="1"/>
    <col min="2961" max="2969" width="13" style="3" customWidth="1"/>
    <col min="2970" max="2970" width="11.19921875" style="3" customWidth="1"/>
    <col min="2971" max="2974" width="10" style="3" customWidth="1"/>
    <col min="2975" max="2975" width="12.796875" style="3" customWidth="1"/>
    <col min="2976" max="2976" width="14.19921875" style="3" customWidth="1"/>
    <col min="2977" max="2977" width="13.53125" style="3" customWidth="1"/>
    <col min="2978" max="3167" width="8.796875" style="3"/>
    <col min="3168" max="3168" width="5.46484375" style="3" customWidth="1"/>
    <col min="3169" max="3169" width="54.19921875" style="3" customWidth="1"/>
    <col min="3170" max="3170" width="10.46484375" style="3" customWidth="1"/>
    <col min="3171" max="3171" width="10.53125" style="3" customWidth="1"/>
    <col min="3172" max="3174" width="7.796875" style="3" customWidth="1"/>
    <col min="3175" max="3175" width="13.19921875" style="3" customWidth="1"/>
    <col min="3176" max="3176" width="11.53125" style="3" customWidth="1"/>
    <col min="3177" max="3193" width="9.46484375" style="3" customWidth="1"/>
    <col min="3194" max="3194" width="10.53125" style="3" customWidth="1"/>
    <col min="3195" max="3195" width="10" style="3" customWidth="1"/>
    <col min="3196" max="3200" width="9.46484375" style="3" customWidth="1"/>
    <col min="3201" max="3201" width="12.796875" style="3" customWidth="1"/>
    <col min="3202" max="3202" width="10.796875" style="3" customWidth="1"/>
    <col min="3203" max="3203" width="11.19921875" style="3" customWidth="1"/>
    <col min="3204" max="3206" width="9.796875" style="3" customWidth="1"/>
    <col min="3207" max="3208" width="12.46484375" style="3" customWidth="1"/>
    <col min="3209" max="3209" width="12.796875" style="3" customWidth="1"/>
    <col min="3210" max="3210" width="10.53125" style="3" customWidth="1"/>
    <col min="3211" max="3211" width="10" style="3" customWidth="1"/>
    <col min="3212" max="3214" width="10.46484375" style="3" customWidth="1"/>
    <col min="3215" max="3215" width="13" style="3" customWidth="1"/>
    <col min="3216" max="3216" width="12.46484375" style="3" customWidth="1"/>
    <col min="3217" max="3225" width="13" style="3" customWidth="1"/>
    <col min="3226" max="3226" width="11.19921875" style="3" customWidth="1"/>
    <col min="3227" max="3230" width="10" style="3" customWidth="1"/>
    <col min="3231" max="3231" width="12.796875" style="3" customWidth="1"/>
    <col min="3232" max="3232" width="14.19921875" style="3" customWidth="1"/>
    <col min="3233" max="3233" width="13.53125" style="3" customWidth="1"/>
    <col min="3234" max="3423" width="8.796875" style="3"/>
    <col min="3424" max="3424" width="5.46484375" style="3" customWidth="1"/>
    <col min="3425" max="3425" width="54.19921875" style="3" customWidth="1"/>
    <col min="3426" max="3426" width="10.46484375" style="3" customWidth="1"/>
    <col min="3427" max="3427" width="10.53125" style="3" customWidth="1"/>
    <col min="3428" max="3430" width="7.796875" style="3" customWidth="1"/>
    <col min="3431" max="3431" width="13.19921875" style="3" customWidth="1"/>
    <col min="3432" max="3432" width="11.53125" style="3" customWidth="1"/>
    <col min="3433" max="3449" width="9.46484375" style="3" customWidth="1"/>
    <col min="3450" max="3450" width="10.53125" style="3" customWidth="1"/>
    <col min="3451" max="3451" width="10" style="3" customWidth="1"/>
    <col min="3452" max="3456" width="9.46484375" style="3" customWidth="1"/>
    <col min="3457" max="3457" width="12.796875" style="3" customWidth="1"/>
    <col min="3458" max="3458" width="10.796875" style="3" customWidth="1"/>
    <col min="3459" max="3459" width="11.19921875" style="3" customWidth="1"/>
    <col min="3460" max="3462" width="9.796875" style="3" customWidth="1"/>
    <col min="3463" max="3464" width="12.46484375" style="3" customWidth="1"/>
    <col min="3465" max="3465" width="12.796875" style="3" customWidth="1"/>
    <col min="3466" max="3466" width="10.53125" style="3" customWidth="1"/>
    <col min="3467" max="3467" width="10" style="3" customWidth="1"/>
    <col min="3468" max="3470" width="10.46484375" style="3" customWidth="1"/>
    <col min="3471" max="3471" width="13" style="3" customWidth="1"/>
    <col min="3472" max="3472" width="12.46484375" style="3" customWidth="1"/>
    <col min="3473" max="3481" width="13" style="3" customWidth="1"/>
    <col min="3482" max="3482" width="11.19921875" style="3" customWidth="1"/>
    <col min="3483" max="3486" width="10" style="3" customWidth="1"/>
    <col min="3487" max="3487" width="12.796875" style="3" customWidth="1"/>
    <col min="3488" max="3488" width="14.19921875" style="3" customWidth="1"/>
    <col min="3489" max="3489" width="13.53125" style="3" customWidth="1"/>
    <col min="3490" max="3679" width="8.796875" style="3"/>
    <col min="3680" max="3680" width="5.46484375" style="3" customWidth="1"/>
    <col min="3681" max="3681" width="54.19921875" style="3" customWidth="1"/>
    <col min="3682" max="3682" width="10.46484375" style="3" customWidth="1"/>
    <col min="3683" max="3683" width="10.53125" style="3" customWidth="1"/>
    <col min="3684" max="3686" width="7.796875" style="3" customWidth="1"/>
    <col min="3687" max="3687" width="13.19921875" style="3" customWidth="1"/>
    <col min="3688" max="3688" width="11.53125" style="3" customWidth="1"/>
    <col min="3689" max="3705" width="9.46484375" style="3" customWidth="1"/>
    <col min="3706" max="3706" width="10.53125" style="3" customWidth="1"/>
    <col min="3707" max="3707" width="10" style="3" customWidth="1"/>
    <col min="3708" max="3712" width="9.46484375" style="3" customWidth="1"/>
    <col min="3713" max="3713" width="12.796875" style="3" customWidth="1"/>
    <col min="3714" max="3714" width="10.796875" style="3" customWidth="1"/>
    <col min="3715" max="3715" width="11.19921875" style="3" customWidth="1"/>
    <col min="3716" max="3718" width="9.796875" style="3" customWidth="1"/>
    <col min="3719" max="3720" width="12.46484375" style="3" customWidth="1"/>
    <col min="3721" max="3721" width="12.796875" style="3" customWidth="1"/>
    <col min="3722" max="3722" width="10.53125" style="3" customWidth="1"/>
    <col min="3723" max="3723" width="10" style="3" customWidth="1"/>
    <col min="3724" max="3726" width="10.46484375" style="3" customWidth="1"/>
    <col min="3727" max="3727" width="13" style="3" customWidth="1"/>
    <col min="3728" max="3728" width="12.46484375" style="3" customWidth="1"/>
    <col min="3729" max="3737" width="13" style="3" customWidth="1"/>
    <col min="3738" max="3738" width="11.19921875" style="3" customWidth="1"/>
    <col min="3739" max="3742" width="10" style="3" customWidth="1"/>
    <col min="3743" max="3743" width="12.796875" style="3" customWidth="1"/>
    <col min="3744" max="3744" width="14.19921875" style="3" customWidth="1"/>
    <col min="3745" max="3745" width="13.53125" style="3" customWidth="1"/>
    <col min="3746" max="3935" width="8.796875" style="3"/>
    <col min="3936" max="3936" width="5.46484375" style="3" customWidth="1"/>
    <col min="3937" max="3937" width="54.19921875" style="3" customWidth="1"/>
    <col min="3938" max="3938" width="10.46484375" style="3" customWidth="1"/>
    <col min="3939" max="3939" width="10.53125" style="3" customWidth="1"/>
    <col min="3940" max="3942" width="7.796875" style="3" customWidth="1"/>
    <col min="3943" max="3943" width="13.19921875" style="3" customWidth="1"/>
    <col min="3944" max="3944" width="11.53125" style="3" customWidth="1"/>
    <col min="3945" max="3961" width="9.46484375" style="3" customWidth="1"/>
    <col min="3962" max="3962" width="10.53125" style="3" customWidth="1"/>
    <col min="3963" max="3963" width="10" style="3" customWidth="1"/>
    <col min="3964" max="3968" width="9.46484375" style="3" customWidth="1"/>
    <col min="3969" max="3969" width="12.796875" style="3" customWidth="1"/>
    <col min="3970" max="3970" width="10.796875" style="3" customWidth="1"/>
    <col min="3971" max="3971" width="11.19921875" style="3" customWidth="1"/>
    <col min="3972" max="3974" width="9.796875" style="3" customWidth="1"/>
    <col min="3975" max="3976" width="12.46484375" style="3" customWidth="1"/>
    <col min="3977" max="3977" width="12.796875" style="3" customWidth="1"/>
    <col min="3978" max="3978" width="10.53125" style="3" customWidth="1"/>
    <col min="3979" max="3979" width="10" style="3" customWidth="1"/>
    <col min="3980" max="3982" width="10.46484375" style="3" customWidth="1"/>
    <col min="3983" max="3983" width="13" style="3" customWidth="1"/>
    <col min="3984" max="3984" width="12.46484375" style="3" customWidth="1"/>
    <col min="3985" max="3993" width="13" style="3" customWidth="1"/>
    <col min="3994" max="3994" width="11.19921875" style="3" customWidth="1"/>
    <col min="3995" max="3998" width="10" style="3" customWidth="1"/>
    <col min="3999" max="3999" width="12.796875" style="3" customWidth="1"/>
    <col min="4000" max="4000" width="14.19921875" style="3" customWidth="1"/>
    <col min="4001" max="4001" width="13.53125" style="3" customWidth="1"/>
    <col min="4002" max="4191" width="8.796875" style="3"/>
    <col min="4192" max="4192" width="5.46484375" style="3" customWidth="1"/>
    <col min="4193" max="4193" width="54.19921875" style="3" customWidth="1"/>
    <col min="4194" max="4194" width="10.46484375" style="3" customWidth="1"/>
    <col min="4195" max="4195" width="10.53125" style="3" customWidth="1"/>
    <col min="4196" max="4198" width="7.796875" style="3" customWidth="1"/>
    <col min="4199" max="4199" width="13.19921875" style="3" customWidth="1"/>
    <col min="4200" max="4200" width="11.53125" style="3" customWidth="1"/>
    <col min="4201" max="4217" width="9.46484375" style="3" customWidth="1"/>
    <col min="4218" max="4218" width="10.53125" style="3" customWidth="1"/>
    <col min="4219" max="4219" width="10" style="3" customWidth="1"/>
    <col min="4220" max="4224" width="9.46484375" style="3" customWidth="1"/>
    <col min="4225" max="4225" width="12.796875" style="3" customWidth="1"/>
    <col min="4226" max="4226" width="10.796875" style="3" customWidth="1"/>
    <col min="4227" max="4227" width="11.19921875" style="3" customWidth="1"/>
    <col min="4228" max="4230" width="9.796875" style="3" customWidth="1"/>
    <col min="4231" max="4232" width="12.46484375" style="3" customWidth="1"/>
    <col min="4233" max="4233" width="12.796875" style="3" customWidth="1"/>
    <col min="4234" max="4234" width="10.53125" style="3" customWidth="1"/>
    <col min="4235" max="4235" width="10" style="3" customWidth="1"/>
    <col min="4236" max="4238" width="10.46484375" style="3" customWidth="1"/>
    <col min="4239" max="4239" width="13" style="3" customWidth="1"/>
    <col min="4240" max="4240" width="12.46484375" style="3" customWidth="1"/>
    <col min="4241" max="4249" width="13" style="3" customWidth="1"/>
    <col min="4250" max="4250" width="11.19921875" style="3" customWidth="1"/>
    <col min="4251" max="4254" width="10" style="3" customWidth="1"/>
    <col min="4255" max="4255" width="12.796875" style="3" customWidth="1"/>
    <col min="4256" max="4256" width="14.19921875" style="3" customWidth="1"/>
    <col min="4257" max="4257" width="13.53125" style="3" customWidth="1"/>
    <col min="4258" max="4447" width="8.796875" style="3"/>
    <col min="4448" max="4448" width="5.46484375" style="3" customWidth="1"/>
    <col min="4449" max="4449" width="54.19921875" style="3" customWidth="1"/>
    <col min="4450" max="4450" width="10.46484375" style="3" customWidth="1"/>
    <col min="4451" max="4451" width="10.53125" style="3" customWidth="1"/>
    <col min="4452" max="4454" width="7.796875" style="3" customWidth="1"/>
    <col min="4455" max="4455" width="13.19921875" style="3" customWidth="1"/>
    <col min="4456" max="4456" width="11.53125" style="3" customWidth="1"/>
    <col min="4457" max="4473" width="9.46484375" style="3" customWidth="1"/>
    <col min="4474" max="4474" width="10.53125" style="3" customWidth="1"/>
    <col min="4475" max="4475" width="10" style="3" customWidth="1"/>
    <col min="4476" max="4480" width="9.46484375" style="3" customWidth="1"/>
    <col min="4481" max="4481" width="12.796875" style="3" customWidth="1"/>
    <col min="4482" max="4482" width="10.796875" style="3" customWidth="1"/>
    <col min="4483" max="4483" width="11.19921875" style="3" customWidth="1"/>
    <col min="4484" max="4486" width="9.796875" style="3" customWidth="1"/>
    <col min="4487" max="4488" width="12.46484375" style="3" customWidth="1"/>
    <col min="4489" max="4489" width="12.796875" style="3" customWidth="1"/>
    <col min="4490" max="4490" width="10.53125" style="3" customWidth="1"/>
    <col min="4491" max="4491" width="10" style="3" customWidth="1"/>
    <col min="4492" max="4494" width="10.46484375" style="3" customWidth="1"/>
    <col min="4495" max="4495" width="13" style="3" customWidth="1"/>
    <col min="4496" max="4496" width="12.46484375" style="3" customWidth="1"/>
    <col min="4497" max="4505" width="13" style="3" customWidth="1"/>
    <col min="4506" max="4506" width="11.19921875" style="3" customWidth="1"/>
    <col min="4507" max="4510" width="10" style="3" customWidth="1"/>
    <col min="4511" max="4511" width="12.796875" style="3" customWidth="1"/>
    <col min="4512" max="4512" width="14.19921875" style="3" customWidth="1"/>
    <col min="4513" max="4513" width="13.53125" style="3" customWidth="1"/>
    <col min="4514" max="4703" width="8.796875" style="3"/>
    <col min="4704" max="4704" width="5.46484375" style="3" customWidth="1"/>
    <col min="4705" max="4705" width="54.19921875" style="3" customWidth="1"/>
    <col min="4706" max="4706" width="10.46484375" style="3" customWidth="1"/>
    <col min="4707" max="4707" width="10.53125" style="3" customWidth="1"/>
    <col min="4708" max="4710" width="7.796875" style="3" customWidth="1"/>
    <col min="4711" max="4711" width="13.19921875" style="3" customWidth="1"/>
    <col min="4712" max="4712" width="11.53125" style="3" customWidth="1"/>
    <col min="4713" max="4729" width="9.46484375" style="3" customWidth="1"/>
    <col min="4730" max="4730" width="10.53125" style="3" customWidth="1"/>
    <col min="4731" max="4731" width="10" style="3" customWidth="1"/>
    <col min="4732" max="4736" width="9.46484375" style="3" customWidth="1"/>
    <col min="4737" max="4737" width="12.796875" style="3" customWidth="1"/>
    <col min="4738" max="4738" width="10.796875" style="3" customWidth="1"/>
    <col min="4739" max="4739" width="11.19921875" style="3" customWidth="1"/>
    <col min="4740" max="4742" width="9.796875" style="3" customWidth="1"/>
    <col min="4743" max="4744" width="12.46484375" style="3" customWidth="1"/>
    <col min="4745" max="4745" width="12.796875" style="3" customWidth="1"/>
    <col min="4746" max="4746" width="10.53125" style="3" customWidth="1"/>
    <col min="4747" max="4747" width="10" style="3" customWidth="1"/>
    <col min="4748" max="4750" width="10.46484375" style="3" customWidth="1"/>
    <col min="4751" max="4751" width="13" style="3" customWidth="1"/>
    <col min="4752" max="4752" width="12.46484375" style="3" customWidth="1"/>
    <col min="4753" max="4761" width="13" style="3" customWidth="1"/>
    <col min="4762" max="4762" width="11.19921875" style="3" customWidth="1"/>
    <col min="4763" max="4766" width="10" style="3" customWidth="1"/>
    <col min="4767" max="4767" width="12.796875" style="3" customWidth="1"/>
    <col min="4768" max="4768" width="14.19921875" style="3" customWidth="1"/>
    <col min="4769" max="4769" width="13.53125" style="3" customWidth="1"/>
    <col min="4770" max="4959" width="8.796875" style="3"/>
    <col min="4960" max="4960" width="5.46484375" style="3" customWidth="1"/>
    <col min="4961" max="4961" width="54.19921875" style="3" customWidth="1"/>
    <col min="4962" max="4962" width="10.46484375" style="3" customWidth="1"/>
    <col min="4963" max="4963" width="10.53125" style="3" customWidth="1"/>
    <col min="4964" max="4966" width="7.796875" style="3" customWidth="1"/>
    <col min="4967" max="4967" width="13.19921875" style="3" customWidth="1"/>
    <col min="4968" max="4968" width="11.53125" style="3" customWidth="1"/>
    <col min="4969" max="4985" width="9.46484375" style="3" customWidth="1"/>
    <col min="4986" max="4986" width="10.53125" style="3" customWidth="1"/>
    <col min="4987" max="4987" width="10" style="3" customWidth="1"/>
    <col min="4988" max="4992" width="9.46484375" style="3" customWidth="1"/>
    <col min="4993" max="4993" width="12.796875" style="3" customWidth="1"/>
    <col min="4994" max="4994" width="10.796875" style="3" customWidth="1"/>
    <col min="4995" max="4995" width="11.19921875" style="3" customWidth="1"/>
    <col min="4996" max="4998" width="9.796875" style="3" customWidth="1"/>
    <col min="4999" max="5000" width="12.46484375" style="3" customWidth="1"/>
    <col min="5001" max="5001" width="12.796875" style="3" customWidth="1"/>
    <col min="5002" max="5002" width="10.53125" style="3" customWidth="1"/>
    <col min="5003" max="5003" width="10" style="3" customWidth="1"/>
    <col min="5004" max="5006" width="10.46484375" style="3" customWidth="1"/>
    <col min="5007" max="5007" width="13" style="3" customWidth="1"/>
    <col min="5008" max="5008" width="12.46484375" style="3" customWidth="1"/>
    <col min="5009" max="5017" width="13" style="3" customWidth="1"/>
    <col min="5018" max="5018" width="11.19921875" style="3" customWidth="1"/>
    <col min="5019" max="5022" width="10" style="3" customWidth="1"/>
    <col min="5023" max="5023" width="12.796875" style="3" customWidth="1"/>
    <col min="5024" max="5024" width="14.19921875" style="3" customWidth="1"/>
    <col min="5025" max="5025" width="13.53125" style="3" customWidth="1"/>
    <col min="5026" max="5215" width="8.796875" style="3"/>
    <col min="5216" max="5216" width="5.46484375" style="3" customWidth="1"/>
    <col min="5217" max="5217" width="54.19921875" style="3" customWidth="1"/>
    <col min="5218" max="5218" width="10.46484375" style="3" customWidth="1"/>
    <col min="5219" max="5219" width="10.53125" style="3" customWidth="1"/>
    <col min="5220" max="5222" width="7.796875" style="3" customWidth="1"/>
    <col min="5223" max="5223" width="13.19921875" style="3" customWidth="1"/>
    <col min="5224" max="5224" width="11.53125" style="3" customWidth="1"/>
    <col min="5225" max="5241" width="9.46484375" style="3" customWidth="1"/>
    <col min="5242" max="5242" width="10.53125" style="3" customWidth="1"/>
    <col min="5243" max="5243" width="10" style="3" customWidth="1"/>
    <col min="5244" max="5248" width="9.46484375" style="3" customWidth="1"/>
    <col min="5249" max="5249" width="12.796875" style="3" customWidth="1"/>
    <col min="5250" max="5250" width="10.796875" style="3" customWidth="1"/>
    <col min="5251" max="5251" width="11.19921875" style="3" customWidth="1"/>
    <col min="5252" max="5254" width="9.796875" style="3" customWidth="1"/>
    <col min="5255" max="5256" width="12.46484375" style="3" customWidth="1"/>
    <col min="5257" max="5257" width="12.796875" style="3" customWidth="1"/>
    <col min="5258" max="5258" width="10.53125" style="3" customWidth="1"/>
    <col min="5259" max="5259" width="10" style="3" customWidth="1"/>
    <col min="5260" max="5262" width="10.46484375" style="3" customWidth="1"/>
    <col min="5263" max="5263" width="13" style="3" customWidth="1"/>
    <col min="5264" max="5264" width="12.46484375" style="3" customWidth="1"/>
    <col min="5265" max="5273" width="13" style="3" customWidth="1"/>
    <col min="5274" max="5274" width="11.19921875" style="3" customWidth="1"/>
    <col min="5275" max="5278" width="10" style="3" customWidth="1"/>
    <col min="5279" max="5279" width="12.796875" style="3" customWidth="1"/>
    <col min="5280" max="5280" width="14.19921875" style="3" customWidth="1"/>
    <col min="5281" max="5281" width="13.53125" style="3" customWidth="1"/>
    <col min="5282" max="5471" width="8.796875" style="3"/>
    <col min="5472" max="5472" width="5.46484375" style="3" customWidth="1"/>
    <col min="5473" max="5473" width="54.19921875" style="3" customWidth="1"/>
    <col min="5474" max="5474" width="10.46484375" style="3" customWidth="1"/>
    <col min="5475" max="5475" width="10.53125" style="3" customWidth="1"/>
    <col min="5476" max="5478" width="7.796875" style="3" customWidth="1"/>
    <col min="5479" max="5479" width="13.19921875" style="3" customWidth="1"/>
    <col min="5480" max="5480" width="11.53125" style="3" customWidth="1"/>
    <col min="5481" max="5497" width="9.46484375" style="3" customWidth="1"/>
    <col min="5498" max="5498" width="10.53125" style="3" customWidth="1"/>
    <col min="5499" max="5499" width="10" style="3" customWidth="1"/>
    <col min="5500" max="5504" width="9.46484375" style="3" customWidth="1"/>
    <col min="5505" max="5505" width="12.796875" style="3" customWidth="1"/>
    <col min="5506" max="5506" width="10.796875" style="3" customWidth="1"/>
    <col min="5507" max="5507" width="11.19921875" style="3" customWidth="1"/>
    <col min="5508" max="5510" width="9.796875" style="3" customWidth="1"/>
    <col min="5511" max="5512" width="12.46484375" style="3" customWidth="1"/>
    <col min="5513" max="5513" width="12.796875" style="3" customWidth="1"/>
    <col min="5514" max="5514" width="10.53125" style="3" customWidth="1"/>
    <col min="5515" max="5515" width="10" style="3" customWidth="1"/>
    <col min="5516" max="5518" width="10.46484375" style="3" customWidth="1"/>
    <col min="5519" max="5519" width="13" style="3" customWidth="1"/>
    <col min="5520" max="5520" width="12.46484375" style="3" customWidth="1"/>
    <col min="5521" max="5529" width="13" style="3" customWidth="1"/>
    <col min="5530" max="5530" width="11.19921875" style="3" customWidth="1"/>
    <col min="5531" max="5534" width="10" style="3" customWidth="1"/>
    <col min="5535" max="5535" width="12.796875" style="3" customWidth="1"/>
    <col min="5536" max="5536" width="14.19921875" style="3" customWidth="1"/>
    <col min="5537" max="5537" width="13.53125" style="3" customWidth="1"/>
    <col min="5538" max="5727" width="8.796875" style="3"/>
    <col min="5728" max="5728" width="5.46484375" style="3" customWidth="1"/>
    <col min="5729" max="5729" width="54.19921875" style="3" customWidth="1"/>
    <col min="5730" max="5730" width="10.46484375" style="3" customWidth="1"/>
    <col min="5731" max="5731" width="10.53125" style="3" customWidth="1"/>
    <col min="5732" max="5734" width="7.796875" style="3" customWidth="1"/>
    <col min="5735" max="5735" width="13.19921875" style="3" customWidth="1"/>
    <col min="5736" max="5736" width="11.53125" style="3" customWidth="1"/>
    <col min="5737" max="5753" width="9.46484375" style="3" customWidth="1"/>
    <col min="5754" max="5754" width="10.53125" style="3" customWidth="1"/>
    <col min="5755" max="5755" width="10" style="3" customWidth="1"/>
    <col min="5756" max="5760" width="9.46484375" style="3" customWidth="1"/>
    <col min="5761" max="5761" width="12.796875" style="3" customWidth="1"/>
    <col min="5762" max="5762" width="10.796875" style="3" customWidth="1"/>
    <col min="5763" max="5763" width="11.19921875" style="3" customWidth="1"/>
    <col min="5764" max="5766" width="9.796875" style="3" customWidth="1"/>
    <col min="5767" max="5768" width="12.46484375" style="3" customWidth="1"/>
    <col min="5769" max="5769" width="12.796875" style="3" customWidth="1"/>
    <col min="5770" max="5770" width="10.53125" style="3" customWidth="1"/>
    <col min="5771" max="5771" width="10" style="3" customWidth="1"/>
    <col min="5772" max="5774" width="10.46484375" style="3" customWidth="1"/>
    <col min="5775" max="5775" width="13" style="3" customWidth="1"/>
    <col min="5776" max="5776" width="12.46484375" style="3" customWidth="1"/>
    <col min="5777" max="5785" width="13" style="3" customWidth="1"/>
    <col min="5786" max="5786" width="11.19921875" style="3" customWidth="1"/>
    <col min="5787" max="5790" width="10" style="3" customWidth="1"/>
    <col min="5791" max="5791" width="12.796875" style="3" customWidth="1"/>
    <col min="5792" max="5792" width="14.19921875" style="3" customWidth="1"/>
    <col min="5793" max="5793" width="13.53125" style="3" customWidth="1"/>
    <col min="5794" max="5983" width="8.796875" style="3"/>
    <col min="5984" max="5984" width="5.46484375" style="3" customWidth="1"/>
    <col min="5985" max="5985" width="54.19921875" style="3" customWidth="1"/>
    <col min="5986" max="5986" width="10.46484375" style="3" customWidth="1"/>
    <col min="5987" max="5987" width="10.53125" style="3" customWidth="1"/>
    <col min="5988" max="5990" width="7.796875" style="3" customWidth="1"/>
    <col min="5991" max="5991" width="13.19921875" style="3" customWidth="1"/>
    <col min="5992" max="5992" width="11.53125" style="3" customWidth="1"/>
    <col min="5993" max="6009" width="9.46484375" style="3" customWidth="1"/>
    <col min="6010" max="6010" width="10.53125" style="3" customWidth="1"/>
    <col min="6011" max="6011" width="10" style="3" customWidth="1"/>
    <col min="6012" max="6016" width="9.46484375" style="3" customWidth="1"/>
    <col min="6017" max="6017" width="12.796875" style="3" customWidth="1"/>
    <col min="6018" max="6018" width="10.796875" style="3" customWidth="1"/>
    <col min="6019" max="6019" width="11.19921875" style="3" customWidth="1"/>
    <col min="6020" max="6022" width="9.796875" style="3" customWidth="1"/>
    <col min="6023" max="6024" width="12.46484375" style="3" customWidth="1"/>
    <col min="6025" max="6025" width="12.796875" style="3" customWidth="1"/>
    <col min="6026" max="6026" width="10.53125" style="3" customWidth="1"/>
    <col min="6027" max="6027" width="10" style="3" customWidth="1"/>
    <col min="6028" max="6030" width="10.46484375" style="3" customWidth="1"/>
    <col min="6031" max="6031" width="13" style="3" customWidth="1"/>
    <col min="6032" max="6032" width="12.46484375" style="3" customWidth="1"/>
    <col min="6033" max="6041" width="13" style="3" customWidth="1"/>
    <col min="6042" max="6042" width="11.19921875" style="3" customWidth="1"/>
    <col min="6043" max="6046" width="10" style="3" customWidth="1"/>
    <col min="6047" max="6047" width="12.796875" style="3" customWidth="1"/>
    <col min="6048" max="6048" width="14.19921875" style="3" customWidth="1"/>
    <col min="6049" max="6049" width="13.53125" style="3" customWidth="1"/>
    <col min="6050" max="6239" width="8.796875" style="3"/>
    <col min="6240" max="6240" width="5.46484375" style="3" customWidth="1"/>
    <col min="6241" max="6241" width="54.19921875" style="3" customWidth="1"/>
    <col min="6242" max="6242" width="10.46484375" style="3" customWidth="1"/>
    <col min="6243" max="6243" width="10.53125" style="3" customWidth="1"/>
    <col min="6244" max="6246" width="7.796875" style="3" customWidth="1"/>
    <col min="6247" max="6247" width="13.19921875" style="3" customWidth="1"/>
    <col min="6248" max="6248" width="11.53125" style="3" customWidth="1"/>
    <col min="6249" max="6265" width="9.46484375" style="3" customWidth="1"/>
    <col min="6266" max="6266" width="10.53125" style="3" customWidth="1"/>
    <col min="6267" max="6267" width="10" style="3" customWidth="1"/>
    <col min="6268" max="6272" width="9.46484375" style="3" customWidth="1"/>
    <col min="6273" max="6273" width="12.796875" style="3" customWidth="1"/>
    <col min="6274" max="6274" width="10.796875" style="3" customWidth="1"/>
    <col min="6275" max="6275" width="11.19921875" style="3" customWidth="1"/>
    <col min="6276" max="6278" width="9.796875" style="3" customWidth="1"/>
    <col min="6279" max="6280" width="12.46484375" style="3" customWidth="1"/>
    <col min="6281" max="6281" width="12.796875" style="3" customWidth="1"/>
    <col min="6282" max="6282" width="10.53125" style="3" customWidth="1"/>
    <col min="6283" max="6283" width="10" style="3" customWidth="1"/>
    <col min="6284" max="6286" width="10.46484375" style="3" customWidth="1"/>
    <col min="6287" max="6287" width="13" style="3" customWidth="1"/>
    <col min="6288" max="6288" width="12.46484375" style="3" customWidth="1"/>
    <col min="6289" max="6297" width="13" style="3" customWidth="1"/>
    <col min="6298" max="6298" width="11.19921875" style="3" customWidth="1"/>
    <col min="6299" max="6302" width="10" style="3" customWidth="1"/>
    <col min="6303" max="6303" width="12.796875" style="3" customWidth="1"/>
    <col min="6304" max="6304" width="14.19921875" style="3" customWidth="1"/>
    <col min="6305" max="6305" width="13.53125" style="3" customWidth="1"/>
    <col min="6306" max="6495" width="8.796875" style="3"/>
    <col min="6496" max="6496" width="5.46484375" style="3" customWidth="1"/>
    <col min="6497" max="6497" width="54.19921875" style="3" customWidth="1"/>
    <col min="6498" max="6498" width="10.46484375" style="3" customWidth="1"/>
    <col min="6499" max="6499" width="10.53125" style="3" customWidth="1"/>
    <col min="6500" max="6502" width="7.796875" style="3" customWidth="1"/>
    <col min="6503" max="6503" width="13.19921875" style="3" customWidth="1"/>
    <col min="6504" max="6504" width="11.53125" style="3" customWidth="1"/>
    <col min="6505" max="6521" width="9.46484375" style="3" customWidth="1"/>
    <col min="6522" max="6522" width="10.53125" style="3" customWidth="1"/>
    <col min="6523" max="6523" width="10" style="3" customWidth="1"/>
    <col min="6524" max="6528" width="9.46484375" style="3" customWidth="1"/>
    <col min="6529" max="6529" width="12.796875" style="3" customWidth="1"/>
    <col min="6530" max="6530" width="10.796875" style="3" customWidth="1"/>
    <col min="6531" max="6531" width="11.19921875" style="3" customWidth="1"/>
    <col min="6532" max="6534" width="9.796875" style="3" customWidth="1"/>
    <col min="6535" max="6536" width="12.46484375" style="3" customWidth="1"/>
    <col min="6537" max="6537" width="12.796875" style="3" customWidth="1"/>
    <col min="6538" max="6538" width="10.53125" style="3" customWidth="1"/>
    <col min="6539" max="6539" width="10" style="3" customWidth="1"/>
    <col min="6540" max="6542" width="10.46484375" style="3" customWidth="1"/>
    <col min="6543" max="6543" width="13" style="3" customWidth="1"/>
    <col min="6544" max="6544" width="12.46484375" style="3" customWidth="1"/>
    <col min="6545" max="6553" width="13" style="3" customWidth="1"/>
    <col min="6554" max="6554" width="11.19921875" style="3" customWidth="1"/>
    <col min="6555" max="6558" width="10" style="3" customWidth="1"/>
    <col min="6559" max="6559" width="12.796875" style="3" customWidth="1"/>
    <col min="6560" max="6560" width="14.19921875" style="3" customWidth="1"/>
    <col min="6561" max="6561" width="13.53125" style="3" customWidth="1"/>
    <col min="6562" max="6751" width="8.796875" style="3"/>
    <col min="6752" max="6752" width="5.46484375" style="3" customWidth="1"/>
    <col min="6753" max="6753" width="54.19921875" style="3" customWidth="1"/>
    <col min="6754" max="6754" width="10.46484375" style="3" customWidth="1"/>
    <col min="6755" max="6755" width="10.53125" style="3" customWidth="1"/>
    <col min="6756" max="6758" width="7.796875" style="3" customWidth="1"/>
    <col min="6759" max="6759" width="13.19921875" style="3" customWidth="1"/>
    <col min="6760" max="6760" width="11.53125" style="3" customWidth="1"/>
    <col min="6761" max="6777" width="9.46484375" style="3" customWidth="1"/>
    <col min="6778" max="6778" width="10.53125" style="3" customWidth="1"/>
    <col min="6779" max="6779" width="10" style="3" customWidth="1"/>
    <col min="6780" max="6784" width="9.46484375" style="3" customWidth="1"/>
    <col min="6785" max="6785" width="12.796875" style="3" customWidth="1"/>
    <col min="6786" max="6786" width="10.796875" style="3" customWidth="1"/>
    <col min="6787" max="6787" width="11.19921875" style="3" customWidth="1"/>
    <col min="6788" max="6790" width="9.796875" style="3" customWidth="1"/>
    <col min="6791" max="6792" width="12.46484375" style="3" customWidth="1"/>
    <col min="6793" max="6793" width="12.796875" style="3" customWidth="1"/>
    <col min="6794" max="6794" width="10.53125" style="3" customWidth="1"/>
    <col min="6795" max="6795" width="10" style="3" customWidth="1"/>
    <col min="6796" max="6798" width="10.46484375" style="3" customWidth="1"/>
    <col min="6799" max="6799" width="13" style="3" customWidth="1"/>
    <col min="6800" max="6800" width="12.46484375" style="3" customWidth="1"/>
    <col min="6801" max="6809" width="13" style="3" customWidth="1"/>
    <col min="6810" max="6810" width="11.19921875" style="3" customWidth="1"/>
    <col min="6811" max="6814" width="10" style="3" customWidth="1"/>
    <col min="6815" max="6815" width="12.796875" style="3" customWidth="1"/>
    <col min="6816" max="6816" width="14.19921875" style="3" customWidth="1"/>
    <col min="6817" max="6817" width="13.53125" style="3" customWidth="1"/>
    <col min="6818" max="7007" width="8.796875" style="3"/>
    <col min="7008" max="7008" width="5.46484375" style="3" customWidth="1"/>
    <col min="7009" max="7009" width="54.19921875" style="3" customWidth="1"/>
    <col min="7010" max="7010" width="10.46484375" style="3" customWidth="1"/>
    <col min="7011" max="7011" width="10.53125" style="3" customWidth="1"/>
    <col min="7012" max="7014" width="7.796875" style="3" customWidth="1"/>
    <col min="7015" max="7015" width="13.19921875" style="3" customWidth="1"/>
    <col min="7016" max="7016" width="11.53125" style="3" customWidth="1"/>
    <col min="7017" max="7033" width="9.46484375" style="3" customWidth="1"/>
    <col min="7034" max="7034" width="10.53125" style="3" customWidth="1"/>
    <col min="7035" max="7035" width="10" style="3" customWidth="1"/>
    <col min="7036" max="7040" width="9.46484375" style="3" customWidth="1"/>
    <col min="7041" max="7041" width="12.796875" style="3" customWidth="1"/>
    <col min="7042" max="7042" width="10.796875" style="3" customWidth="1"/>
    <col min="7043" max="7043" width="11.19921875" style="3" customWidth="1"/>
    <col min="7044" max="7046" width="9.796875" style="3" customWidth="1"/>
    <col min="7047" max="7048" width="12.46484375" style="3" customWidth="1"/>
    <col min="7049" max="7049" width="12.796875" style="3" customWidth="1"/>
    <col min="7050" max="7050" width="10.53125" style="3" customWidth="1"/>
    <col min="7051" max="7051" width="10" style="3" customWidth="1"/>
    <col min="7052" max="7054" width="10.46484375" style="3" customWidth="1"/>
    <col min="7055" max="7055" width="13" style="3" customWidth="1"/>
    <col min="7056" max="7056" width="12.46484375" style="3" customWidth="1"/>
    <col min="7057" max="7065" width="13" style="3" customWidth="1"/>
    <col min="7066" max="7066" width="11.19921875" style="3" customWidth="1"/>
    <col min="7067" max="7070" width="10" style="3" customWidth="1"/>
    <col min="7071" max="7071" width="12.796875" style="3" customWidth="1"/>
    <col min="7072" max="7072" width="14.19921875" style="3" customWidth="1"/>
    <col min="7073" max="7073" width="13.53125" style="3" customWidth="1"/>
    <col min="7074" max="7263" width="8.796875" style="3"/>
    <col min="7264" max="7264" width="5.46484375" style="3" customWidth="1"/>
    <col min="7265" max="7265" width="54.19921875" style="3" customWidth="1"/>
    <col min="7266" max="7266" width="10.46484375" style="3" customWidth="1"/>
    <col min="7267" max="7267" width="10.53125" style="3" customWidth="1"/>
    <col min="7268" max="7270" width="7.796875" style="3" customWidth="1"/>
    <col min="7271" max="7271" width="13.19921875" style="3" customWidth="1"/>
    <col min="7272" max="7272" width="11.53125" style="3" customWidth="1"/>
    <col min="7273" max="7289" width="9.46484375" style="3" customWidth="1"/>
    <col min="7290" max="7290" width="10.53125" style="3" customWidth="1"/>
    <col min="7291" max="7291" width="10" style="3" customWidth="1"/>
    <col min="7292" max="7296" width="9.46484375" style="3" customWidth="1"/>
    <col min="7297" max="7297" width="12.796875" style="3" customWidth="1"/>
    <col min="7298" max="7298" width="10.796875" style="3" customWidth="1"/>
    <col min="7299" max="7299" width="11.19921875" style="3" customWidth="1"/>
    <col min="7300" max="7302" width="9.796875" style="3" customWidth="1"/>
    <col min="7303" max="7304" width="12.46484375" style="3" customWidth="1"/>
    <col min="7305" max="7305" width="12.796875" style="3" customWidth="1"/>
    <col min="7306" max="7306" width="10.53125" style="3" customWidth="1"/>
    <col min="7307" max="7307" width="10" style="3" customWidth="1"/>
    <col min="7308" max="7310" width="10.46484375" style="3" customWidth="1"/>
    <col min="7311" max="7311" width="13" style="3" customWidth="1"/>
    <col min="7312" max="7312" width="12.46484375" style="3" customWidth="1"/>
    <col min="7313" max="7321" width="13" style="3" customWidth="1"/>
    <col min="7322" max="7322" width="11.19921875" style="3" customWidth="1"/>
    <col min="7323" max="7326" width="10" style="3" customWidth="1"/>
    <col min="7327" max="7327" width="12.796875" style="3" customWidth="1"/>
    <col min="7328" max="7328" width="14.19921875" style="3" customWidth="1"/>
    <col min="7329" max="7329" width="13.53125" style="3" customWidth="1"/>
    <col min="7330" max="7519" width="8.796875" style="3"/>
    <col min="7520" max="7520" width="5.46484375" style="3" customWidth="1"/>
    <col min="7521" max="7521" width="54.19921875" style="3" customWidth="1"/>
    <col min="7522" max="7522" width="10.46484375" style="3" customWidth="1"/>
    <col min="7523" max="7523" width="10.53125" style="3" customWidth="1"/>
    <col min="7524" max="7526" width="7.796875" style="3" customWidth="1"/>
    <col min="7527" max="7527" width="13.19921875" style="3" customWidth="1"/>
    <col min="7528" max="7528" width="11.53125" style="3" customWidth="1"/>
    <col min="7529" max="7545" width="9.46484375" style="3" customWidth="1"/>
    <col min="7546" max="7546" width="10.53125" style="3" customWidth="1"/>
    <col min="7547" max="7547" width="10" style="3" customWidth="1"/>
    <col min="7548" max="7552" width="9.46484375" style="3" customWidth="1"/>
    <col min="7553" max="7553" width="12.796875" style="3" customWidth="1"/>
    <col min="7554" max="7554" width="10.796875" style="3" customWidth="1"/>
    <col min="7555" max="7555" width="11.19921875" style="3" customWidth="1"/>
    <col min="7556" max="7558" width="9.796875" style="3" customWidth="1"/>
    <col min="7559" max="7560" width="12.46484375" style="3" customWidth="1"/>
    <col min="7561" max="7561" width="12.796875" style="3" customWidth="1"/>
    <col min="7562" max="7562" width="10.53125" style="3" customWidth="1"/>
    <col min="7563" max="7563" width="10" style="3" customWidth="1"/>
    <col min="7564" max="7566" width="10.46484375" style="3" customWidth="1"/>
    <col min="7567" max="7567" width="13" style="3" customWidth="1"/>
    <col min="7568" max="7568" width="12.46484375" style="3" customWidth="1"/>
    <col min="7569" max="7577" width="13" style="3" customWidth="1"/>
    <col min="7578" max="7578" width="11.19921875" style="3" customWidth="1"/>
    <col min="7579" max="7582" width="10" style="3" customWidth="1"/>
    <col min="7583" max="7583" width="12.796875" style="3" customWidth="1"/>
    <col min="7584" max="7584" width="14.19921875" style="3" customWidth="1"/>
    <col min="7585" max="7585" width="13.53125" style="3" customWidth="1"/>
    <col min="7586" max="7775" width="8.796875" style="3"/>
    <col min="7776" max="7776" width="5.46484375" style="3" customWidth="1"/>
    <col min="7777" max="7777" width="54.19921875" style="3" customWidth="1"/>
    <col min="7778" max="7778" width="10.46484375" style="3" customWidth="1"/>
    <col min="7779" max="7779" width="10.53125" style="3" customWidth="1"/>
    <col min="7780" max="7782" width="7.796875" style="3" customWidth="1"/>
    <col min="7783" max="7783" width="13.19921875" style="3" customWidth="1"/>
    <col min="7784" max="7784" width="11.53125" style="3" customWidth="1"/>
    <col min="7785" max="7801" width="9.46484375" style="3" customWidth="1"/>
    <col min="7802" max="7802" width="10.53125" style="3" customWidth="1"/>
    <col min="7803" max="7803" width="10" style="3" customWidth="1"/>
    <col min="7804" max="7808" width="9.46484375" style="3" customWidth="1"/>
    <col min="7809" max="7809" width="12.796875" style="3" customWidth="1"/>
    <col min="7810" max="7810" width="10.796875" style="3" customWidth="1"/>
    <col min="7811" max="7811" width="11.19921875" style="3" customWidth="1"/>
    <col min="7812" max="7814" width="9.796875" style="3" customWidth="1"/>
    <col min="7815" max="7816" width="12.46484375" style="3" customWidth="1"/>
    <col min="7817" max="7817" width="12.796875" style="3" customWidth="1"/>
    <col min="7818" max="7818" width="10.53125" style="3" customWidth="1"/>
    <col min="7819" max="7819" width="10" style="3" customWidth="1"/>
    <col min="7820" max="7822" width="10.46484375" style="3" customWidth="1"/>
    <col min="7823" max="7823" width="13" style="3" customWidth="1"/>
    <col min="7824" max="7824" width="12.46484375" style="3" customWidth="1"/>
    <col min="7825" max="7833" width="13" style="3" customWidth="1"/>
    <col min="7834" max="7834" width="11.19921875" style="3" customWidth="1"/>
    <col min="7835" max="7838" width="10" style="3" customWidth="1"/>
    <col min="7839" max="7839" width="12.796875" style="3" customWidth="1"/>
    <col min="7840" max="7840" width="14.19921875" style="3" customWidth="1"/>
    <col min="7841" max="7841" width="13.53125" style="3" customWidth="1"/>
    <col min="7842" max="8031" width="8.796875" style="3"/>
    <col min="8032" max="8032" width="5.46484375" style="3" customWidth="1"/>
    <col min="8033" max="8033" width="54.19921875" style="3" customWidth="1"/>
    <col min="8034" max="8034" width="10.46484375" style="3" customWidth="1"/>
    <col min="8035" max="8035" width="10.53125" style="3" customWidth="1"/>
    <col min="8036" max="8038" width="7.796875" style="3" customWidth="1"/>
    <col min="8039" max="8039" width="13.19921875" style="3" customWidth="1"/>
    <col min="8040" max="8040" width="11.53125" style="3" customWidth="1"/>
    <col min="8041" max="8057" width="9.46484375" style="3" customWidth="1"/>
    <col min="8058" max="8058" width="10.53125" style="3" customWidth="1"/>
    <col min="8059" max="8059" width="10" style="3" customWidth="1"/>
    <col min="8060" max="8064" width="9.46484375" style="3" customWidth="1"/>
    <col min="8065" max="8065" width="12.796875" style="3" customWidth="1"/>
    <col min="8066" max="8066" width="10.796875" style="3" customWidth="1"/>
    <col min="8067" max="8067" width="11.19921875" style="3" customWidth="1"/>
    <col min="8068" max="8070" width="9.796875" style="3" customWidth="1"/>
    <col min="8071" max="8072" width="12.46484375" style="3" customWidth="1"/>
    <col min="8073" max="8073" width="12.796875" style="3" customWidth="1"/>
    <col min="8074" max="8074" width="10.53125" style="3" customWidth="1"/>
    <col min="8075" max="8075" width="10" style="3" customWidth="1"/>
    <col min="8076" max="8078" width="10.46484375" style="3" customWidth="1"/>
    <col min="8079" max="8079" width="13" style="3" customWidth="1"/>
    <col min="8080" max="8080" width="12.46484375" style="3" customWidth="1"/>
    <col min="8081" max="8089" width="13" style="3" customWidth="1"/>
    <col min="8090" max="8090" width="11.19921875" style="3" customWidth="1"/>
    <col min="8091" max="8094" width="10" style="3" customWidth="1"/>
    <col min="8095" max="8095" width="12.796875" style="3" customWidth="1"/>
    <col min="8096" max="8096" width="14.19921875" style="3" customWidth="1"/>
    <col min="8097" max="8097" width="13.53125" style="3" customWidth="1"/>
    <col min="8098" max="8287" width="8.796875" style="3"/>
    <col min="8288" max="8288" width="5.46484375" style="3" customWidth="1"/>
    <col min="8289" max="8289" width="54.19921875" style="3" customWidth="1"/>
    <col min="8290" max="8290" width="10.46484375" style="3" customWidth="1"/>
    <col min="8291" max="8291" width="10.53125" style="3" customWidth="1"/>
    <col min="8292" max="8294" width="7.796875" style="3" customWidth="1"/>
    <col min="8295" max="8295" width="13.19921875" style="3" customWidth="1"/>
    <col min="8296" max="8296" width="11.53125" style="3" customWidth="1"/>
    <col min="8297" max="8313" width="9.46484375" style="3" customWidth="1"/>
    <col min="8314" max="8314" width="10.53125" style="3" customWidth="1"/>
    <col min="8315" max="8315" width="10" style="3" customWidth="1"/>
    <col min="8316" max="8320" width="9.46484375" style="3" customWidth="1"/>
    <col min="8321" max="8321" width="12.796875" style="3" customWidth="1"/>
    <col min="8322" max="8322" width="10.796875" style="3" customWidth="1"/>
    <col min="8323" max="8323" width="11.19921875" style="3" customWidth="1"/>
    <col min="8324" max="8326" width="9.796875" style="3" customWidth="1"/>
    <col min="8327" max="8328" width="12.46484375" style="3" customWidth="1"/>
    <col min="8329" max="8329" width="12.796875" style="3" customWidth="1"/>
    <col min="8330" max="8330" width="10.53125" style="3" customWidth="1"/>
    <col min="8331" max="8331" width="10" style="3" customWidth="1"/>
    <col min="8332" max="8334" width="10.46484375" style="3" customWidth="1"/>
    <col min="8335" max="8335" width="13" style="3" customWidth="1"/>
    <col min="8336" max="8336" width="12.46484375" style="3" customWidth="1"/>
    <col min="8337" max="8345" width="13" style="3" customWidth="1"/>
    <col min="8346" max="8346" width="11.19921875" style="3" customWidth="1"/>
    <col min="8347" max="8350" width="10" style="3" customWidth="1"/>
    <col min="8351" max="8351" width="12.796875" style="3" customWidth="1"/>
    <col min="8352" max="8352" width="14.19921875" style="3" customWidth="1"/>
    <col min="8353" max="8353" width="13.53125" style="3" customWidth="1"/>
    <col min="8354" max="8543" width="8.796875" style="3"/>
    <col min="8544" max="8544" width="5.46484375" style="3" customWidth="1"/>
    <col min="8545" max="8545" width="54.19921875" style="3" customWidth="1"/>
    <col min="8546" max="8546" width="10.46484375" style="3" customWidth="1"/>
    <col min="8547" max="8547" width="10.53125" style="3" customWidth="1"/>
    <col min="8548" max="8550" width="7.796875" style="3" customWidth="1"/>
    <col min="8551" max="8551" width="13.19921875" style="3" customWidth="1"/>
    <col min="8552" max="8552" width="11.53125" style="3" customWidth="1"/>
    <col min="8553" max="8569" width="9.46484375" style="3" customWidth="1"/>
    <col min="8570" max="8570" width="10.53125" style="3" customWidth="1"/>
    <col min="8571" max="8571" width="10" style="3" customWidth="1"/>
    <col min="8572" max="8576" width="9.46484375" style="3" customWidth="1"/>
    <col min="8577" max="8577" width="12.796875" style="3" customWidth="1"/>
    <col min="8578" max="8578" width="10.796875" style="3" customWidth="1"/>
    <col min="8579" max="8579" width="11.19921875" style="3" customWidth="1"/>
    <col min="8580" max="8582" width="9.796875" style="3" customWidth="1"/>
    <col min="8583" max="8584" width="12.46484375" style="3" customWidth="1"/>
    <col min="8585" max="8585" width="12.796875" style="3" customWidth="1"/>
    <col min="8586" max="8586" width="10.53125" style="3" customWidth="1"/>
    <col min="8587" max="8587" width="10" style="3" customWidth="1"/>
    <col min="8588" max="8590" width="10.46484375" style="3" customWidth="1"/>
    <col min="8591" max="8591" width="13" style="3" customWidth="1"/>
    <col min="8592" max="8592" width="12.46484375" style="3" customWidth="1"/>
    <col min="8593" max="8601" width="13" style="3" customWidth="1"/>
    <col min="8602" max="8602" width="11.19921875" style="3" customWidth="1"/>
    <col min="8603" max="8606" width="10" style="3" customWidth="1"/>
    <col min="8607" max="8607" width="12.796875" style="3" customWidth="1"/>
    <col min="8608" max="8608" width="14.19921875" style="3" customWidth="1"/>
    <col min="8609" max="8609" width="13.53125" style="3" customWidth="1"/>
    <col min="8610" max="8799" width="8.796875" style="3"/>
    <col min="8800" max="8800" width="5.46484375" style="3" customWidth="1"/>
    <col min="8801" max="8801" width="54.19921875" style="3" customWidth="1"/>
    <col min="8802" max="8802" width="10.46484375" style="3" customWidth="1"/>
    <col min="8803" max="8803" width="10.53125" style="3" customWidth="1"/>
    <col min="8804" max="8806" width="7.796875" style="3" customWidth="1"/>
    <col min="8807" max="8807" width="13.19921875" style="3" customWidth="1"/>
    <col min="8808" max="8808" width="11.53125" style="3" customWidth="1"/>
    <col min="8809" max="8825" width="9.46484375" style="3" customWidth="1"/>
    <col min="8826" max="8826" width="10.53125" style="3" customWidth="1"/>
    <col min="8827" max="8827" width="10" style="3" customWidth="1"/>
    <col min="8828" max="8832" width="9.46484375" style="3" customWidth="1"/>
    <col min="8833" max="8833" width="12.796875" style="3" customWidth="1"/>
    <col min="8834" max="8834" width="10.796875" style="3" customWidth="1"/>
    <col min="8835" max="8835" width="11.19921875" style="3" customWidth="1"/>
    <col min="8836" max="8838" width="9.796875" style="3" customWidth="1"/>
    <col min="8839" max="8840" width="12.46484375" style="3" customWidth="1"/>
    <col min="8841" max="8841" width="12.796875" style="3" customWidth="1"/>
    <col min="8842" max="8842" width="10.53125" style="3" customWidth="1"/>
    <col min="8843" max="8843" width="10" style="3" customWidth="1"/>
    <col min="8844" max="8846" width="10.46484375" style="3" customWidth="1"/>
    <col min="8847" max="8847" width="13" style="3" customWidth="1"/>
    <col min="8848" max="8848" width="12.46484375" style="3" customWidth="1"/>
    <col min="8849" max="8857" width="13" style="3" customWidth="1"/>
    <col min="8858" max="8858" width="11.19921875" style="3" customWidth="1"/>
    <col min="8859" max="8862" width="10" style="3" customWidth="1"/>
    <col min="8863" max="8863" width="12.796875" style="3" customWidth="1"/>
    <col min="8864" max="8864" width="14.19921875" style="3" customWidth="1"/>
    <col min="8865" max="8865" width="13.53125" style="3" customWidth="1"/>
    <col min="8866" max="9055" width="8.796875" style="3"/>
    <col min="9056" max="9056" width="5.46484375" style="3" customWidth="1"/>
    <col min="9057" max="9057" width="54.19921875" style="3" customWidth="1"/>
    <col min="9058" max="9058" width="10.46484375" style="3" customWidth="1"/>
    <col min="9059" max="9059" width="10.53125" style="3" customWidth="1"/>
    <col min="9060" max="9062" width="7.796875" style="3" customWidth="1"/>
    <col min="9063" max="9063" width="13.19921875" style="3" customWidth="1"/>
    <col min="9064" max="9064" width="11.53125" style="3" customWidth="1"/>
    <col min="9065" max="9081" width="9.46484375" style="3" customWidth="1"/>
    <col min="9082" max="9082" width="10.53125" style="3" customWidth="1"/>
    <col min="9083" max="9083" width="10" style="3" customWidth="1"/>
    <col min="9084" max="9088" width="9.46484375" style="3" customWidth="1"/>
    <col min="9089" max="9089" width="12.796875" style="3" customWidth="1"/>
    <col min="9090" max="9090" width="10.796875" style="3" customWidth="1"/>
    <col min="9091" max="9091" width="11.19921875" style="3" customWidth="1"/>
    <col min="9092" max="9094" width="9.796875" style="3" customWidth="1"/>
    <col min="9095" max="9096" width="12.46484375" style="3" customWidth="1"/>
    <col min="9097" max="9097" width="12.796875" style="3" customWidth="1"/>
    <col min="9098" max="9098" width="10.53125" style="3" customWidth="1"/>
    <col min="9099" max="9099" width="10" style="3" customWidth="1"/>
    <col min="9100" max="9102" width="10.46484375" style="3" customWidth="1"/>
    <col min="9103" max="9103" width="13" style="3" customWidth="1"/>
    <col min="9104" max="9104" width="12.46484375" style="3" customWidth="1"/>
    <col min="9105" max="9113" width="13" style="3" customWidth="1"/>
    <col min="9114" max="9114" width="11.19921875" style="3" customWidth="1"/>
    <col min="9115" max="9118" width="10" style="3" customWidth="1"/>
    <col min="9119" max="9119" width="12.796875" style="3" customWidth="1"/>
    <col min="9120" max="9120" width="14.19921875" style="3" customWidth="1"/>
    <col min="9121" max="9121" width="13.53125" style="3" customWidth="1"/>
    <col min="9122" max="9311" width="8.796875" style="3"/>
    <col min="9312" max="9312" width="5.46484375" style="3" customWidth="1"/>
    <col min="9313" max="9313" width="54.19921875" style="3" customWidth="1"/>
    <col min="9314" max="9314" width="10.46484375" style="3" customWidth="1"/>
    <col min="9315" max="9315" width="10.53125" style="3" customWidth="1"/>
    <col min="9316" max="9318" width="7.796875" style="3" customWidth="1"/>
    <col min="9319" max="9319" width="13.19921875" style="3" customWidth="1"/>
    <col min="9320" max="9320" width="11.53125" style="3" customWidth="1"/>
    <col min="9321" max="9337" width="9.46484375" style="3" customWidth="1"/>
    <col min="9338" max="9338" width="10.53125" style="3" customWidth="1"/>
    <col min="9339" max="9339" width="10" style="3" customWidth="1"/>
    <col min="9340" max="9344" width="9.46484375" style="3" customWidth="1"/>
    <col min="9345" max="9345" width="12.796875" style="3" customWidth="1"/>
    <col min="9346" max="9346" width="10.796875" style="3" customWidth="1"/>
    <col min="9347" max="9347" width="11.19921875" style="3" customWidth="1"/>
    <col min="9348" max="9350" width="9.796875" style="3" customWidth="1"/>
    <col min="9351" max="9352" width="12.46484375" style="3" customWidth="1"/>
    <col min="9353" max="9353" width="12.796875" style="3" customWidth="1"/>
    <col min="9354" max="9354" width="10.53125" style="3" customWidth="1"/>
    <col min="9355" max="9355" width="10" style="3" customWidth="1"/>
    <col min="9356" max="9358" width="10.46484375" style="3" customWidth="1"/>
    <col min="9359" max="9359" width="13" style="3" customWidth="1"/>
    <col min="9360" max="9360" width="12.46484375" style="3" customWidth="1"/>
    <col min="9361" max="9369" width="13" style="3" customWidth="1"/>
    <col min="9370" max="9370" width="11.19921875" style="3" customWidth="1"/>
    <col min="9371" max="9374" width="10" style="3" customWidth="1"/>
    <col min="9375" max="9375" width="12.796875" style="3" customWidth="1"/>
    <col min="9376" max="9376" width="14.19921875" style="3" customWidth="1"/>
    <col min="9377" max="9377" width="13.53125" style="3" customWidth="1"/>
    <col min="9378" max="9567" width="8.796875" style="3"/>
    <col min="9568" max="9568" width="5.46484375" style="3" customWidth="1"/>
    <col min="9569" max="9569" width="54.19921875" style="3" customWidth="1"/>
    <col min="9570" max="9570" width="10.46484375" style="3" customWidth="1"/>
    <col min="9571" max="9571" width="10.53125" style="3" customWidth="1"/>
    <col min="9572" max="9574" width="7.796875" style="3" customWidth="1"/>
    <col min="9575" max="9575" width="13.19921875" style="3" customWidth="1"/>
    <col min="9576" max="9576" width="11.53125" style="3" customWidth="1"/>
    <col min="9577" max="9593" width="9.46484375" style="3" customWidth="1"/>
    <col min="9594" max="9594" width="10.53125" style="3" customWidth="1"/>
    <col min="9595" max="9595" width="10" style="3" customWidth="1"/>
    <col min="9596" max="9600" width="9.46484375" style="3" customWidth="1"/>
    <col min="9601" max="9601" width="12.796875" style="3" customWidth="1"/>
    <col min="9602" max="9602" width="10.796875" style="3" customWidth="1"/>
    <col min="9603" max="9603" width="11.19921875" style="3" customWidth="1"/>
    <col min="9604" max="9606" width="9.796875" style="3" customWidth="1"/>
    <col min="9607" max="9608" width="12.46484375" style="3" customWidth="1"/>
    <col min="9609" max="9609" width="12.796875" style="3" customWidth="1"/>
    <col min="9610" max="9610" width="10.53125" style="3" customWidth="1"/>
    <col min="9611" max="9611" width="10" style="3" customWidth="1"/>
    <col min="9612" max="9614" width="10.46484375" style="3" customWidth="1"/>
    <col min="9615" max="9615" width="13" style="3" customWidth="1"/>
    <col min="9616" max="9616" width="12.46484375" style="3" customWidth="1"/>
    <col min="9617" max="9625" width="13" style="3" customWidth="1"/>
    <col min="9626" max="9626" width="11.19921875" style="3" customWidth="1"/>
    <col min="9627" max="9630" width="10" style="3" customWidth="1"/>
    <col min="9631" max="9631" width="12.796875" style="3" customWidth="1"/>
    <col min="9632" max="9632" width="14.19921875" style="3" customWidth="1"/>
    <col min="9633" max="9633" width="13.53125" style="3" customWidth="1"/>
    <col min="9634" max="9823" width="8.796875" style="3"/>
    <col min="9824" max="9824" width="5.46484375" style="3" customWidth="1"/>
    <col min="9825" max="9825" width="54.19921875" style="3" customWidth="1"/>
    <col min="9826" max="9826" width="10.46484375" style="3" customWidth="1"/>
    <col min="9827" max="9827" width="10.53125" style="3" customWidth="1"/>
    <col min="9828" max="9830" width="7.796875" style="3" customWidth="1"/>
    <col min="9831" max="9831" width="13.19921875" style="3" customWidth="1"/>
    <col min="9832" max="9832" width="11.53125" style="3" customWidth="1"/>
    <col min="9833" max="9849" width="9.46484375" style="3" customWidth="1"/>
    <col min="9850" max="9850" width="10.53125" style="3" customWidth="1"/>
    <col min="9851" max="9851" width="10" style="3" customWidth="1"/>
    <col min="9852" max="9856" width="9.46484375" style="3" customWidth="1"/>
    <col min="9857" max="9857" width="12.796875" style="3" customWidth="1"/>
    <col min="9858" max="9858" width="10.796875" style="3" customWidth="1"/>
    <col min="9859" max="9859" width="11.19921875" style="3" customWidth="1"/>
    <col min="9860" max="9862" width="9.796875" style="3" customWidth="1"/>
    <col min="9863" max="9864" width="12.46484375" style="3" customWidth="1"/>
    <col min="9865" max="9865" width="12.796875" style="3" customWidth="1"/>
    <col min="9866" max="9866" width="10.53125" style="3" customWidth="1"/>
    <col min="9867" max="9867" width="10" style="3" customWidth="1"/>
    <col min="9868" max="9870" width="10.46484375" style="3" customWidth="1"/>
    <col min="9871" max="9871" width="13" style="3" customWidth="1"/>
    <col min="9872" max="9872" width="12.46484375" style="3" customWidth="1"/>
    <col min="9873" max="9881" width="13" style="3" customWidth="1"/>
    <col min="9882" max="9882" width="11.19921875" style="3" customWidth="1"/>
    <col min="9883" max="9886" width="10" style="3" customWidth="1"/>
    <col min="9887" max="9887" width="12.796875" style="3" customWidth="1"/>
    <col min="9888" max="9888" width="14.19921875" style="3" customWidth="1"/>
    <col min="9889" max="9889" width="13.53125" style="3" customWidth="1"/>
    <col min="9890" max="10079" width="8.796875" style="3"/>
    <col min="10080" max="10080" width="5.46484375" style="3" customWidth="1"/>
    <col min="10081" max="10081" width="54.19921875" style="3" customWidth="1"/>
    <col min="10082" max="10082" width="10.46484375" style="3" customWidth="1"/>
    <col min="10083" max="10083" width="10.53125" style="3" customWidth="1"/>
    <col min="10084" max="10086" width="7.796875" style="3" customWidth="1"/>
    <col min="10087" max="10087" width="13.19921875" style="3" customWidth="1"/>
    <col min="10088" max="10088" width="11.53125" style="3" customWidth="1"/>
    <col min="10089" max="10105" width="9.46484375" style="3" customWidth="1"/>
    <col min="10106" max="10106" width="10.53125" style="3" customWidth="1"/>
    <col min="10107" max="10107" width="10" style="3" customWidth="1"/>
    <col min="10108" max="10112" width="9.46484375" style="3" customWidth="1"/>
    <col min="10113" max="10113" width="12.796875" style="3" customWidth="1"/>
    <col min="10114" max="10114" width="10.796875" style="3" customWidth="1"/>
    <col min="10115" max="10115" width="11.19921875" style="3" customWidth="1"/>
    <col min="10116" max="10118" width="9.796875" style="3" customWidth="1"/>
    <col min="10119" max="10120" width="12.46484375" style="3" customWidth="1"/>
    <col min="10121" max="10121" width="12.796875" style="3" customWidth="1"/>
    <col min="10122" max="10122" width="10.53125" style="3" customWidth="1"/>
    <col min="10123" max="10123" width="10" style="3" customWidth="1"/>
    <col min="10124" max="10126" width="10.46484375" style="3" customWidth="1"/>
    <col min="10127" max="10127" width="13" style="3" customWidth="1"/>
    <col min="10128" max="10128" width="12.46484375" style="3" customWidth="1"/>
    <col min="10129" max="10137" width="13" style="3" customWidth="1"/>
    <col min="10138" max="10138" width="11.19921875" style="3" customWidth="1"/>
    <col min="10139" max="10142" width="10" style="3" customWidth="1"/>
    <col min="10143" max="10143" width="12.796875" style="3" customWidth="1"/>
    <col min="10144" max="10144" width="14.19921875" style="3" customWidth="1"/>
    <col min="10145" max="10145" width="13.53125" style="3" customWidth="1"/>
    <col min="10146" max="10335" width="8.796875" style="3"/>
    <col min="10336" max="10336" width="5.46484375" style="3" customWidth="1"/>
    <col min="10337" max="10337" width="54.19921875" style="3" customWidth="1"/>
    <col min="10338" max="10338" width="10.46484375" style="3" customWidth="1"/>
    <col min="10339" max="10339" width="10.53125" style="3" customWidth="1"/>
    <col min="10340" max="10342" width="7.796875" style="3" customWidth="1"/>
    <col min="10343" max="10343" width="13.19921875" style="3" customWidth="1"/>
    <col min="10344" max="10344" width="11.53125" style="3" customWidth="1"/>
    <col min="10345" max="10361" width="9.46484375" style="3" customWidth="1"/>
    <col min="10362" max="10362" width="10.53125" style="3" customWidth="1"/>
    <col min="10363" max="10363" width="10" style="3" customWidth="1"/>
    <col min="10364" max="10368" width="9.46484375" style="3" customWidth="1"/>
    <col min="10369" max="10369" width="12.796875" style="3" customWidth="1"/>
    <col min="10370" max="10370" width="10.796875" style="3" customWidth="1"/>
    <col min="10371" max="10371" width="11.19921875" style="3" customWidth="1"/>
    <col min="10372" max="10374" width="9.796875" style="3" customWidth="1"/>
    <col min="10375" max="10376" width="12.46484375" style="3" customWidth="1"/>
    <col min="10377" max="10377" width="12.796875" style="3" customWidth="1"/>
    <col min="10378" max="10378" width="10.53125" style="3" customWidth="1"/>
    <col min="10379" max="10379" width="10" style="3" customWidth="1"/>
    <col min="10380" max="10382" width="10.46484375" style="3" customWidth="1"/>
    <col min="10383" max="10383" width="13" style="3" customWidth="1"/>
    <col min="10384" max="10384" width="12.46484375" style="3" customWidth="1"/>
    <col min="10385" max="10393" width="13" style="3" customWidth="1"/>
    <col min="10394" max="10394" width="11.19921875" style="3" customWidth="1"/>
    <col min="10395" max="10398" width="10" style="3" customWidth="1"/>
    <col min="10399" max="10399" width="12.796875" style="3" customWidth="1"/>
    <col min="10400" max="10400" width="14.19921875" style="3" customWidth="1"/>
    <col min="10401" max="10401" width="13.53125" style="3" customWidth="1"/>
    <col min="10402" max="10591" width="8.796875" style="3"/>
    <col min="10592" max="10592" width="5.46484375" style="3" customWidth="1"/>
    <col min="10593" max="10593" width="54.19921875" style="3" customWidth="1"/>
    <col min="10594" max="10594" width="10.46484375" style="3" customWidth="1"/>
    <col min="10595" max="10595" width="10.53125" style="3" customWidth="1"/>
    <col min="10596" max="10598" width="7.796875" style="3" customWidth="1"/>
    <col min="10599" max="10599" width="13.19921875" style="3" customWidth="1"/>
    <col min="10600" max="10600" width="11.53125" style="3" customWidth="1"/>
    <col min="10601" max="10617" width="9.46484375" style="3" customWidth="1"/>
    <col min="10618" max="10618" width="10.53125" style="3" customWidth="1"/>
    <col min="10619" max="10619" width="10" style="3" customWidth="1"/>
    <col min="10620" max="10624" width="9.46484375" style="3" customWidth="1"/>
    <col min="10625" max="10625" width="12.796875" style="3" customWidth="1"/>
    <col min="10626" max="10626" width="10.796875" style="3" customWidth="1"/>
    <col min="10627" max="10627" width="11.19921875" style="3" customWidth="1"/>
    <col min="10628" max="10630" width="9.796875" style="3" customWidth="1"/>
    <col min="10631" max="10632" width="12.46484375" style="3" customWidth="1"/>
    <col min="10633" max="10633" width="12.796875" style="3" customWidth="1"/>
    <col min="10634" max="10634" width="10.53125" style="3" customWidth="1"/>
    <col min="10635" max="10635" width="10" style="3" customWidth="1"/>
    <col min="10636" max="10638" width="10.46484375" style="3" customWidth="1"/>
    <col min="10639" max="10639" width="13" style="3" customWidth="1"/>
    <col min="10640" max="10640" width="12.46484375" style="3" customWidth="1"/>
    <col min="10641" max="10649" width="13" style="3" customWidth="1"/>
    <col min="10650" max="10650" width="11.19921875" style="3" customWidth="1"/>
    <col min="10651" max="10654" width="10" style="3" customWidth="1"/>
    <col min="10655" max="10655" width="12.796875" style="3" customWidth="1"/>
    <col min="10656" max="10656" width="14.19921875" style="3" customWidth="1"/>
    <col min="10657" max="10657" width="13.53125" style="3" customWidth="1"/>
    <col min="10658" max="10847" width="8.796875" style="3"/>
    <col min="10848" max="10848" width="5.46484375" style="3" customWidth="1"/>
    <col min="10849" max="10849" width="54.19921875" style="3" customWidth="1"/>
    <col min="10850" max="10850" width="10.46484375" style="3" customWidth="1"/>
    <col min="10851" max="10851" width="10.53125" style="3" customWidth="1"/>
    <col min="10852" max="10854" width="7.796875" style="3" customWidth="1"/>
    <col min="10855" max="10855" width="13.19921875" style="3" customWidth="1"/>
    <col min="10856" max="10856" width="11.53125" style="3" customWidth="1"/>
    <col min="10857" max="10873" width="9.46484375" style="3" customWidth="1"/>
    <col min="10874" max="10874" width="10.53125" style="3" customWidth="1"/>
    <col min="10875" max="10875" width="10" style="3" customWidth="1"/>
    <col min="10876" max="10880" width="9.46484375" style="3" customWidth="1"/>
    <col min="10881" max="10881" width="12.796875" style="3" customWidth="1"/>
    <col min="10882" max="10882" width="10.796875" style="3" customWidth="1"/>
    <col min="10883" max="10883" width="11.19921875" style="3" customWidth="1"/>
    <col min="10884" max="10886" width="9.796875" style="3" customWidth="1"/>
    <col min="10887" max="10888" width="12.46484375" style="3" customWidth="1"/>
    <col min="10889" max="10889" width="12.796875" style="3" customWidth="1"/>
    <col min="10890" max="10890" width="10.53125" style="3" customWidth="1"/>
    <col min="10891" max="10891" width="10" style="3" customWidth="1"/>
    <col min="10892" max="10894" width="10.46484375" style="3" customWidth="1"/>
    <col min="10895" max="10895" width="13" style="3" customWidth="1"/>
    <col min="10896" max="10896" width="12.46484375" style="3" customWidth="1"/>
    <col min="10897" max="10905" width="13" style="3" customWidth="1"/>
    <col min="10906" max="10906" width="11.19921875" style="3" customWidth="1"/>
    <col min="10907" max="10910" width="10" style="3" customWidth="1"/>
    <col min="10911" max="10911" width="12.796875" style="3" customWidth="1"/>
    <col min="10912" max="10912" width="14.19921875" style="3" customWidth="1"/>
    <col min="10913" max="10913" width="13.53125" style="3" customWidth="1"/>
    <col min="10914" max="11103" width="8.796875" style="3"/>
    <col min="11104" max="11104" width="5.46484375" style="3" customWidth="1"/>
    <col min="11105" max="11105" width="54.19921875" style="3" customWidth="1"/>
    <col min="11106" max="11106" width="10.46484375" style="3" customWidth="1"/>
    <col min="11107" max="11107" width="10.53125" style="3" customWidth="1"/>
    <col min="11108" max="11110" width="7.796875" style="3" customWidth="1"/>
    <col min="11111" max="11111" width="13.19921875" style="3" customWidth="1"/>
    <col min="11112" max="11112" width="11.53125" style="3" customWidth="1"/>
    <col min="11113" max="11129" width="9.46484375" style="3" customWidth="1"/>
    <col min="11130" max="11130" width="10.53125" style="3" customWidth="1"/>
    <col min="11131" max="11131" width="10" style="3" customWidth="1"/>
    <col min="11132" max="11136" width="9.46484375" style="3" customWidth="1"/>
    <col min="11137" max="11137" width="12.796875" style="3" customWidth="1"/>
    <col min="11138" max="11138" width="10.796875" style="3" customWidth="1"/>
    <col min="11139" max="11139" width="11.19921875" style="3" customWidth="1"/>
    <col min="11140" max="11142" width="9.796875" style="3" customWidth="1"/>
    <col min="11143" max="11144" width="12.46484375" style="3" customWidth="1"/>
    <col min="11145" max="11145" width="12.796875" style="3" customWidth="1"/>
    <col min="11146" max="11146" width="10.53125" style="3" customWidth="1"/>
    <col min="11147" max="11147" width="10" style="3" customWidth="1"/>
    <col min="11148" max="11150" width="10.46484375" style="3" customWidth="1"/>
    <col min="11151" max="11151" width="13" style="3" customWidth="1"/>
    <col min="11152" max="11152" width="12.46484375" style="3" customWidth="1"/>
    <col min="11153" max="11161" width="13" style="3" customWidth="1"/>
    <col min="11162" max="11162" width="11.19921875" style="3" customWidth="1"/>
    <col min="11163" max="11166" width="10" style="3" customWidth="1"/>
    <col min="11167" max="11167" width="12.796875" style="3" customWidth="1"/>
    <col min="11168" max="11168" width="14.19921875" style="3" customWidth="1"/>
    <col min="11169" max="11169" width="13.53125" style="3" customWidth="1"/>
    <col min="11170" max="11359" width="8.796875" style="3"/>
    <col min="11360" max="11360" width="5.46484375" style="3" customWidth="1"/>
    <col min="11361" max="11361" width="54.19921875" style="3" customWidth="1"/>
    <col min="11362" max="11362" width="10.46484375" style="3" customWidth="1"/>
    <col min="11363" max="11363" width="10.53125" style="3" customWidth="1"/>
    <col min="11364" max="11366" width="7.796875" style="3" customWidth="1"/>
    <col min="11367" max="11367" width="13.19921875" style="3" customWidth="1"/>
    <col min="11368" max="11368" width="11.53125" style="3" customWidth="1"/>
    <col min="11369" max="11385" width="9.46484375" style="3" customWidth="1"/>
    <col min="11386" max="11386" width="10.53125" style="3" customWidth="1"/>
    <col min="11387" max="11387" width="10" style="3" customWidth="1"/>
    <col min="11388" max="11392" width="9.46484375" style="3" customWidth="1"/>
    <col min="11393" max="11393" width="12.796875" style="3" customWidth="1"/>
    <col min="11394" max="11394" width="10.796875" style="3" customWidth="1"/>
    <col min="11395" max="11395" width="11.19921875" style="3" customWidth="1"/>
    <col min="11396" max="11398" width="9.796875" style="3" customWidth="1"/>
    <col min="11399" max="11400" width="12.46484375" style="3" customWidth="1"/>
    <col min="11401" max="11401" width="12.796875" style="3" customWidth="1"/>
    <col min="11402" max="11402" width="10.53125" style="3" customWidth="1"/>
    <col min="11403" max="11403" width="10" style="3" customWidth="1"/>
    <col min="11404" max="11406" width="10.46484375" style="3" customWidth="1"/>
    <col min="11407" max="11407" width="13" style="3" customWidth="1"/>
    <col min="11408" max="11408" width="12.46484375" style="3" customWidth="1"/>
    <col min="11409" max="11417" width="13" style="3" customWidth="1"/>
    <col min="11418" max="11418" width="11.19921875" style="3" customWidth="1"/>
    <col min="11419" max="11422" width="10" style="3" customWidth="1"/>
    <col min="11423" max="11423" width="12.796875" style="3" customWidth="1"/>
    <col min="11424" max="11424" width="14.19921875" style="3" customWidth="1"/>
    <col min="11425" max="11425" width="13.53125" style="3" customWidth="1"/>
    <col min="11426" max="11615" width="8.796875" style="3"/>
    <col min="11616" max="11616" width="5.46484375" style="3" customWidth="1"/>
    <col min="11617" max="11617" width="54.19921875" style="3" customWidth="1"/>
    <col min="11618" max="11618" width="10.46484375" style="3" customWidth="1"/>
    <col min="11619" max="11619" width="10.53125" style="3" customWidth="1"/>
    <col min="11620" max="11622" width="7.796875" style="3" customWidth="1"/>
    <col min="11623" max="11623" width="13.19921875" style="3" customWidth="1"/>
    <col min="11624" max="11624" width="11.53125" style="3" customWidth="1"/>
    <col min="11625" max="11641" width="9.46484375" style="3" customWidth="1"/>
    <col min="11642" max="11642" width="10.53125" style="3" customWidth="1"/>
    <col min="11643" max="11643" width="10" style="3" customWidth="1"/>
    <col min="11644" max="11648" width="9.46484375" style="3" customWidth="1"/>
    <col min="11649" max="11649" width="12.796875" style="3" customWidth="1"/>
    <col min="11650" max="11650" width="10.796875" style="3" customWidth="1"/>
    <col min="11651" max="11651" width="11.19921875" style="3" customWidth="1"/>
    <col min="11652" max="11654" width="9.796875" style="3" customWidth="1"/>
    <col min="11655" max="11656" width="12.46484375" style="3" customWidth="1"/>
    <col min="11657" max="11657" width="12.796875" style="3" customWidth="1"/>
    <col min="11658" max="11658" width="10.53125" style="3" customWidth="1"/>
    <col min="11659" max="11659" width="10" style="3" customWidth="1"/>
    <col min="11660" max="11662" width="10.46484375" style="3" customWidth="1"/>
    <col min="11663" max="11663" width="13" style="3" customWidth="1"/>
    <col min="11664" max="11664" width="12.46484375" style="3" customWidth="1"/>
    <col min="11665" max="11673" width="13" style="3" customWidth="1"/>
    <col min="11674" max="11674" width="11.19921875" style="3" customWidth="1"/>
    <col min="11675" max="11678" width="10" style="3" customWidth="1"/>
    <col min="11679" max="11679" width="12.796875" style="3" customWidth="1"/>
    <col min="11680" max="11680" width="14.19921875" style="3" customWidth="1"/>
    <col min="11681" max="11681" width="13.53125" style="3" customWidth="1"/>
    <col min="11682" max="11871" width="8.796875" style="3"/>
    <col min="11872" max="11872" width="5.46484375" style="3" customWidth="1"/>
    <col min="11873" max="11873" width="54.19921875" style="3" customWidth="1"/>
    <col min="11874" max="11874" width="10.46484375" style="3" customWidth="1"/>
    <col min="11875" max="11875" width="10.53125" style="3" customWidth="1"/>
    <col min="11876" max="11878" width="7.796875" style="3" customWidth="1"/>
    <col min="11879" max="11879" width="13.19921875" style="3" customWidth="1"/>
    <col min="11880" max="11880" width="11.53125" style="3" customWidth="1"/>
    <col min="11881" max="11897" width="9.46484375" style="3" customWidth="1"/>
    <col min="11898" max="11898" width="10.53125" style="3" customWidth="1"/>
    <col min="11899" max="11899" width="10" style="3" customWidth="1"/>
    <col min="11900" max="11904" width="9.46484375" style="3" customWidth="1"/>
    <col min="11905" max="11905" width="12.796875" style="3" customWidth="1"/>
    <col min="11906" max="11906" width="10.796875" style="3" customWidth="1"/>
    <col min="11907" max="11907" width="11.19921875" style="3" customWidth="1"/>
    <col min="11908" max="11910" width="9.796875" style="3" customWidth="1"/>
    <col min="11911" max="11912" width="12.46484375" style="3" customWidth="1"/>
    <col min="11913" max="11913" width="12.796875" style="3" customWidth="1"/>
    <col min="11914" max="11914" width="10.53125" style="3" customWidth="1"/>
    <col min="11915" max="11915" width="10" style="3" customWidth="1"/>
    <col min="11916" max="11918" width="10.46484375" style="3" customWidth="1"/>
    <col min="11919" max="11919" width="13" style="3" customWidth="1"/>
    <col min="11920" max="11920" width="12.46484375" style="3" customWidth="1"/>
    <col min="11921" max="11929" width="13" style="3" customWidth="1"/>
    <col min="11930" max="11930" width="11.19921875" style="3" customWidth="1"/>
    <col min="11931" max="11934" width="10" style="3" customWidth="1"/>
    <col min="11935" max="11935" width="12.796875" style="3" customWidth="1"/>
    <col min="11936" max="11936" width="14.19921875" style="3" customWidth="1"/>
    <col min="11937" max="11937" width="13.53125" style="3" customWidth="1"/>
    <col min="11938" max="12127" width="8.796875" style="3"/>
    <col min="12128" max="12128" width="5.46484375" style="3" customWidth="1"/>
    <col min="12129" max="12129" width="54.19921875" style="3" customWidth="1"/>
    <col min="12130" max="12130" width="10.46484375" style="3" customWidth="1"/>
    <col min="12131" max="12131" width="10.53125" style="3" customWidth="1"/>
    <col min="12132" max="12134" width="7.796875" style="3" customWidth="1"/>
    <col min="12135" max="12135" width="13.19921875" style="3" customWidth="1"/>
    <col min="12136" max="12136" width="11.53125" style="3" customWidth="1"/>
    <col min="12137" max="12153" width="9.46484375" style="3" customWidth="1"/>
    <col min="12154" max="12154" width="10.53125" style="3" customWidth="1"/>
    <col min="12155" max="12155" width="10" style="3" customWidth="1"/>
    <col min="12156" max="12160" width="9.46484375" style="3" customWidth="1"/>
    <col min="12161" max="12161" width="12.796875" style="3" customWidth="1"/>
    <col min="12162" max="12162" width="10.796875" style="3" customWidth="1"/>
    <col min="12163" max="12163" width="11.19921875" style="3" customWidth="1"/>
    <col min="12164" max="12166" width="9.796875" style="3" customWidth="1"/>
    <col min="12167" max="12168" width="12.46484375" style="3" customWidth="1"/>
    <col min="12169" max="12169" width="12.796875" style="3" customWidth="1"/>
    <col min="12170" max="12170" width="10.53125" style="3" customWidth="1"/>
    <col min="12171" max="12171" width="10" style="3" customWidth="1"/>
    <col min="12172" max="12174" width="10.46484375" style="3" customWidth="1"/>
    <col min="12175" max="12175" width="13" style="3" customWidth="1"/>
    <col min="12176" max="12176" width="12.46484375" style="3" customWidth="1"/>
    <col min="12177" max="12185" width="13" style="3" customWidth="1"/>
    <col min="12186" max="12186" width="11.19921875" style="3" customWidth="1"/>
    <col min="12187" max="12190" width="10" style="3" customWidth="1"/>
    <col min="12191" max="12191" width="12.796875" style="3" customWidth="1"/>
    <col min="12192" max="12192" width="14.19921875" style="3" customWidth="1"/>
    <col min="12193" max="12193" width="13.53125" style="3" customWidth="1"/>
    <col min="12194" max="12383" width="8.796875" style="3"/>
    <col min="12384" max="12384" width="5.46484375" style="3" customWidth="1"/>
    <col min="12385" max="12385" width="54.19921875" style="3" customWidth="1"/>
    <col min="12386" max="12386" width="10.46484375" style="3" customWidth="1"/>
    <col min="12387" max="12387" width="10.53125" style="3" customWidth="1"/>
    <col min="12388" max="12390" width="7.796875" style="3" customWidth="1"/>
    <col min="12391" max="12391" width="13.19921875" style="3" customWidth="1"/>
    <col min="12392" max="12392" width="11.53125" style="3" customWidth="1"/>
    <col min="12393" max="12409" width="9.46484375" style="3" customWidth="1"/>
    <col min="12410" max="12410" width="10.53125" style="3" customWidth="1"/>
    <col min="12411" max="12411" width="10" style="3" customWidth="1"/>
    <col min="12412" max="12416" width="9.46484375" style="3" customWidth="1"/>
    <col min="12417" max="12417" width="12.796875" style="3" customWidth="1"/>
    <col min="12418" max="12418" width="10.796875" style="3" customWidth="1"/>
    <col min="12419" max="12419" width="11.19921875" style="3" customWidth="1"/>
    <col min="12420" max="12422" width="9.796875" style="3" customWidth="1"/>
    <col min="12423" max="12424" width="12.46484375" style="3" customWidth="1"/>
    <col min="12425" max="12425" width="12.796875" style="3" customWidth="1"/>
    <col min="12426" max="12426" width="10.53125" style="3" customWidth="1"/>
    <col min="12427" max="12427" width="10" style="3" customWidth="1"/>
    <col min="12428" max="12430" width="10.46484375" style="3" customWidth="1"/>
    <col min="12431" max="12431" width="13" style="3" customWidth="1"/>
    <col min="12432" max="12432" width="12.46484375" style="3" customWidth="1"/>
    <col min="12433" max="12441" width="13" style="3" customWidth="1"/>
    <col min="12442" max="12442" width="11.19921875" style="3" customWidth="1"/>
    <col min="12443" max="12446" width="10" style="3" customWidth="1"/>
    <col min="12447" max="12447" width="12.796875" style="3" customWidth="1"/>
    <col min="12448" max="12448" width="14.19921875" style="3" customWidth="1"/>
    <col min="12449" max="12449" width="13.53125" style="3" customWidth="1"/>
    <col min="12450" max="12639" width="8.796875" style="3"/>
    <col min="12640" max="12640" width="5.46484375" style="3" customWidth="1"/>
    <col min="12641" max="12641" width="54.19921875" style="3" customWidth="1"/>
    <col min="12642" max="12642" width="10.46484375" style="3" customWidth="1"/>
    <col min="12643" max="12643" width="10.53125" style="3" customWidth="1"/>
    <col min="12644" max="12646" width="7.796875" style="3" customWidth="1"/>
    <col min="12647" max="12647" width="13.19921875" style="3" customWidth="1"/>
    <col min="12648" max="12648" width="11.53125" style="3" customWidth="1"/>
    <col min="12649" max="12665" width="9.46484375" style="3" customWidth="1"/>
    <col min="12666" max="12666" width="10.53125" style="3" customWidth="1"/>
    <col min="12667" max="12667" width="10" style="3" customWidth="1"/>
    <col min="12668" max="12672" width="9.46484375" style="3" customWidth="1"/>
    <col min="12673" max="12673" width="12.796875" style="3" customWidth="1"/>
    <col min="12674" max="12674" width="10.796875" style="3" customWidth="1"/>
    <col min="12675" max="12675" width="11.19921875" style="3" customWidth="1"/>
    <col min="12676" max="12678" width="9.796875" style="3" customWidth="1"/>
    <col min="12679" max="12680" width="12.46484375" style="3" customWidth="1"/>
    <col min="12681" max="12681" width="12.796875" style="3" customWidth="1"/>
    <col min="12682" max="12682" width="10.53125" style="3" customWidth="1"/>
    <col min="12683" max="12683" width="10" style="3" customWidth="1"/>
    <col min="12684" max="12686" width="10.46484375" style="3" customWidth="1"/>
    <col min="12687" max="12687" width="13" style="3" customWidth="1"/>
    <col min="12688" max="12688" width="12.46484375" style="3" customWidth="1"/>
    <col min="12689" max="12697" width="13" style="3" customWidth="1"/>
    <col min="12698" max="12698" width="11.19921875" style="3" customWidth="1"/>
    <col min="12699" max="12702" width="10" style="3" customWidth="1"/>
    <col min="12703" max="12703" width="12.796875" style="3" customWidth="1"/>
    <col min="12704" max="12704" width="14.19921875" style="3" customWidth="1"/>
    <col min="12705" max="12705" width="13.53125" style="3" customWidth="1"/>
    <col min="12706" max="12895" width="8.796875" style="3"/>
    <col min="12896" max="12896" width="5.46484375" style="3" customWidth="1"/>
    <col min="12897" max="12897" width="54.19921875" style="3" customWidth="1"/>
    <col min="12898" max="12898" width="10.46484375" style="3" customWidth="1"/>
    <col min="12899" max="12899" width="10.53125" style="3" customWidth="1"/>
    <col min="12900" max="12902" width="7.796875" style="3" customWidth="1"/>
    <col min="12903" max="12903" width="13.19921875" style="3" customWidth="1"/>
    <col min="12904" max="12904" width="11.53125" style="3" customWidth="1"/>
    <col min="12905" max="12921" width="9.46484375" style="3" customWidth="1"/>
    <col min="12922" max="12922" width="10.53125" style="3" customWidth="1"/>
    <col min="12923" max="12923" width="10" style="3" customWidth="1"/>
    <col min="12924" max="12928" width="9.46484375" style="3" customWidth="1"/>
    <col min="12929" max="12929" width="12.796875" style="3" customWidth="1"/>
    <col min="12930" max="12930" width="10.796875" style="3" customWidth="1"/>
    <col min="12931" max="12931" width="11.19921875" style="3" customWidth="1"/>
    <col min="12932" max="12934" width="9.796875" style="3" customWidth="1"/>
    <col min="12935" max="12936" width="12.46484375" style="3" customWidth="1"/>
    <col min="12937" max="12937" width="12.796875" style="3" customWidth="1"/>
    <col min="12938" max="12938" width="10.53125" style="3" customWidth="1"/>
    <col min="12939" max="12939" width="10" style="3" customWidth="1"/>
    <col min="12940" max="12942" width="10.46484375" style="3" customWidth="1"/>
    <col min="12943" max="12943" width="13" style="3" customWidth="1"/>
    <col min="12944" max="12944" width="12.46484375" style="3" customWidth="1"/>
    <col min="12945" max="12953" width="13" style="3" customWidth="1"/>
    <col min="12954" max="12954" width="11.19921875" style="3" customWidth="1"/>
    <col min="12955" max="12958" width="10" style="3" customWidth="1"/>
    <col min="12959" max="12959" width="12.796875" style="3" customWidth="1"/>
    <col min="12960" max="12960" width="14.19921875" style="3" customWidth="1"/>
    <col min="12961" max="12961" width="13.53125" style="3" customWidth="1"/>
    <col min="12962" max="13151" width="8.796875" style="3"/>
    <col min="13152" max="13152" width="5.46484375" style="3" customWidth="1"/>
    <col min="13153" max="13153" width="54.19921875" style="3" customWidth="1"/>
    <col min="13154" max="13154" width="10.46484375" style="3" customWidth="1"/>
    <col min="13155" max="13155" width="10.53125" style="3" customWidth="1"/>
    <col min="13156" max="13158" width="7.796875" style="3" customWidth="1"/>
    <col min="13159" max="13159" width="13.19921875" style="3" customWidth="1"/>
    <col min="13160" max="13160" width="11.53125" style="3" customWidth="1"/>
    <col min="13161" max="13177" width="9.46484375" style="3" customWidth="1"/>
    <col min="13178" max="13178" width="10.53125" style="3" customWidth="1"/>
    <col min="13179" max="13179" width="10" style="3" customWidth="1"/>
    <col min="13180" max="13184" width="9.46484375" style="3" customWidth="1"/>
    <col min="13185" max="13185" width="12.796875" style="3" customWidth="1"/>
    <col min="13186" max="13186" width="10.796875" style="3" customWidth="1"/>
    <col min="13187" max="13187" width="11.19921875" style="3" customWidth="1"/>
    <col min="13188" max="13190" width="9.796875" style="3" customWidth="1"/>
    <col min="13191" max="13192" width="12.46484375" style="3" customWidth="1"/>
    <col min="13193" max="13193" width="12.796875" style="3" customWidth="1"/>
    <col min="13194" max="13194" width="10.53125" style="3" customWidth="1"/>
    <col min="13195" max="13195" width="10" style="3" customWidth="1"/>
    <col min="13196" max="13198" width="10.46484375" style="3" customWidth="1"/>
    <col min="13199" max="13199" width="13" style="3" customWidth="1"/>
    <col min="13200" max="13200" width="12.46484375" style="3" customWidth="1"/>
    <col min="13201" max="13209" width="13" style="3" customWidth="1"/>
    <col min="13210" max="13210" width="11.19921875" style="3" customWidth="1"/>
    <col min="13211" max="13214" width="10" style="3" customWidth="1"/>
    <col min="13215" max="13215" width="12.796875" style="3" customWidth="1"/>
    <col min="13216" max="13216" width="14.19921875" style="3" customWidth="1"/>
    <col min="13217" max="13217" width="13.53125" style="3" customWidth="1"/>
    <col min="13218" max="13407" width="8.796875" style="3"/>
    <col min="13408" max="13408" width="5.46484375" style="3" customWidth="1"/>
    <col min="13409" max="13409" width="54.19921875" style="3" customWidth="1"/>
    <col min="13410" max="13410" width="10.46484375" style="3" customWidth="1"/>
    <col min="13411" max="13411" width="10.53125" style="3" customWidth="1"/>
    <col min="13412" max="13414" width="7.796875" style="3" customWidth="1"/>
    <col min="13415" max="13415" width="13.19921875" style="3" customWidth="1"/>
    <col min="13416" max="13416" width="11.53125" style="3" customWidth="1"/>
    <col min="13417" max="13433" width="9.46484375" style="3" customWidth="1"/>
    <col min="13434" max="13434" width="10.53125" style="3" customWidth="1"/>
    <col min="13435" max="13435" width="10" style="3" customWidth="1"/>
    <col min="13436" max="13440" width="9.46484375" style="3" customWidth="1"/>
    <col min="13441" max="13441" width="12.796875" style="3" customWidth="1"/>
    <col min="13442" max="13442" width="10.796875" style="3" customWidth="1"/>
    <col min="13443" max="13443" width="11.19921875" style="3" customWidth="1"/>
    <col min="13444" max="13446" width="9.796875" style="3" customWidth="1"/>
    <col min="13447" max="13448" width="12.46484375" style="3" customWidth="1"/>
    <col min="13449" max="13449" width="12.796875" style="3" customWidth="1"/>
    <col min="13450" max="13450" width="10.53125" style="3" customWidth="1"/>
    <col min="13451" max="13451" width="10" style="3" customWidth="1"/>
    <col min="13452" max="13454" width="10.46484375" style="3" customWidth="1"/>
    <col min="13455" max="13455" width="13" style="3" customWidth="1"/>
    <col min="13456" max="13456" width="12.46484375" style="3" customWidth="1"/>
    <col min="13457" max="13465" width="13" style="3" customWidth="1"/>
    <col min="13466" max="13466" width="11.19921875" style="3" customWidth="1"/>
    <col min="13467" max="13470" width="10" style="3" customWidth="1"/>
    <col min="13471" max="13471" width="12.796875" style="3" customWidth="1"/>
    <col min="13472" max="13472" width="14.19921875" style="3" customWidth="1"/>
    <col min="13473" max="13473" width="13.53125" style="3" customWidth="1"/>
    <col min="13474" max="13663" width="8.796875" style="3"/>
    <col min="13664" max="13664" width="5.46484375" style="3" customWidth="1"/>
    <col min="13665" max="13665" width="54.19921875" style="3" customWidth="1"/>
    <col min="13666" max="13666" width="10.46484375" style="3" customWidth="1"/>
    <col min="13667" max="13667" width="10.53125" style="3" customWidth="1"/>
    <col min="13668" max="13670" width="7.796875" style="3" customWidth="1"/>
    <col min="13671" max="13671" width="13.19921875" style="3" customWidth="1"/>
    <col min="13672" max="13672" width="11.53125" style="3" customWidth="1"/>
    <col min="13673" max="13689" width="9.46484375" style="3" customWidth="1"/>
    <col min="13690" max="13690" width="10.53125" style="3" customWidth="1"/>
    <col min="13691" max="13691" width="10" style="3" customWidth="1"/>
    <col min="13692" max="13696" width="9.46484375" style="3" customWidth="1"/>
    <col min="13697" max="13697" width="12.796875" style="3" customWidth="1"/>
    <col min="13698" max="13698" width="10.796875" style="3" customWidth="1"/>
    <col min="13699" max="13699" width="11.19921875" style="3" customWidth="1"/>
    <col min="13700" max="13702" width="9.796875" style="3" customWidth="1"/>
    <col min="13703" max="13704" width="12.46484375" style="3" customWidth="1"/>
    <col min="13705" max="13705" width="12.796875" style="3" customWidth="1"/>
    <col min="13706" max="13706" width="10.53125" style="3" customWidth="1"/>
    <col min="13707" max="13707" width="10" style="3" customWidth="1"/>
    <col min="13708" max="13710" width="10.46484375" style="3" customWidth="1"/>
    <col min="13711" max="13711" width="13" style="3" customWidth="1"/>
    <col min="13712" max="13712" width="12.46484375" style="3" customWidth="1"/>
    <col min="13713" max="13721" width="13" style="3" customWidth="1"/>
    <col min="13722" max="13722" width="11.19921875" style="3" customWidth="1"/>
    <col min="13723" max="13726" width="10" style="3" customWidth="1"/>
    <col min="13727" max="13727" width="12.796875" style="3" customWidth="1"/>
    <col min="13728" max="13728" width="14.19921875" style="3" customWidth="1"/>
    <col min="13729" max="13729" width="13.53125" style="3" customWidth="1"/>
    <col min="13730" max="13919" width="8.796875" style="3"/>
    <col min="13920" max="13920" width="5.46484375" style="3" customWidth="1"/>
    <col min="13921" max="13921" width="54.19921875" style="3" customWidth="1"/>
    <col min="13922" max="13922" width="10.46484375" style="3" customWidth="1"/>
    <col min="13923" max="13923" width="10.53125" style="3" customWidth="1"/>
    <col min="13924" max="13926" width="7.796875" style="3" customWidth="1"/>
    <col min="13927" max="13927" width="13.19921875" style="3" customWidth="1"/>
    <col min="13928" max="13928" width="11.53125" style="3" customWidth="1"/>
    <col min="13929" max="13945" width="9.46484375" style="3" customWidth="1"/>
    <col min="13946" max="13946" width="10.53125" style="3" customWidth="1"/>
    <col min="13947" max="13947" width="10" style="3" customWidth="1"/>
    <col min="13948" max="13952" width="9.46484375" style="3" customWidth="1"/>
    <col min="13953" max="13953" width="12.796875" style="3" customWidth="1"/>
    <col min="13954" max="13954" width="10.796875" style="3" customWidth="1"/>
    <col min="13955" max="13955" width="11.19921875" style="3" customWidth="1"/>
    <col min="13956" max="13958" width="9.796875" style="3" customWidth="1"/>
    <col min="13959" max="13960" width="12.46484375" style="3" customWidth="1"/>
    <col min="13961" max="13961" width="12.796875" style="3" customWidth="1"/>
    <col min="13962" max="13962" width="10.53125" style="3" customWidth="1"/>
    <col min="13963" max="13963" width="10" style="3" customWidth="1"/>
    <col min="13964" max="13966" width="10.46484375" style="3" customWidth="1"/>
    <col min="13967" max="13967" width="13" style="3" customWidth="1"/>
    <col min="13968" max="13968" width="12.46484375" style="3" customWidth="1"/>
    <col min="13969" max="13977" width="13" style="3" customWidth="1"/>
    <col min="13978" max="13978" width="11.19921875" style="3" customWidth="1"/>
    <col min="13979" max="13982" width="10" style="3" customWidth="1"/>
    <col min="13983" max="13983" width="12.796875" style="3" customWidth="1"/>
    <col min="13984" max="13984" width="14.19921875" style="3" customWidth="1"/>
    <col min="13985" max="13985" width="13.53125" style="3" customWidth="1"/>
    <col min="13986" max="14175" width="8.796875" style="3"/>
    <col min="14176" max="14176" width="5.46484375" style="3" customWidth="1"/>
    <col min="14177" max="14177" width="54.19921875" style="3" customWidth="1"/>
    <col min="14178" max="14178" width="10.46484375" style="3" customWidth="1"/>
    <col min="14179" max="14179" width="10.53125" style="3" customWidth="1"/>
    <col min="14180" max="14182" width="7.796875" style="3" customWidth="1"/>
    <col min="14183" max="14183" width="13.19921875" style="3" customWidth="1"/>
    <col min="14184" max="14184" width="11.53125" style="3" customWidth="1"/>
    <col min="14185" max="14201" width="9.46484375" style="3" customWidth="1"/>
    <col min="14202" max="14202" width="10.53125" style="3" customWidth="1"/>
    <col min="14203" max="14203" width="10" style="3" customWidth="1"/>
    <col min="14204" max="14208" width="9.46484375" style="3" customWidth="1"/>
    <col min="14209" max="14209" width="12.796875" style="3" customWidth="1"/>
    <col min="14210" max="14210" width="10.796875" style="3" customWidth="1"/>
    <col min="14211" max="14211" width="11.19921875" style="3" customWidth="1"/>
    <col min="14212" max="14214" width="9.796875" style="3" customWidth="1"/>
    <col min="14215" max="14216" width="12.46484375" style="3" customWidth="1"/>
    <col min="14217" max="14217" width="12.796875" style="3" customWidth="1"/>
    <col min="14218" max="14218" width="10.53125" style="3" customWidth="1"/>
    <col min="14219" max="14219" width="10" style="3" customWidth="1"/>
    <col min="14220" max="14222" width="10.46484375" style="3" customWidth="1"/>
    <col min="14223" max="14223" width="13" style="3" customWidth="1"/>
    <col min="14224" max="14224" width="12.46484375" style="3" customWidth="1"/>
    <col min="14225" max="14233" width="13" style="3" customWidth="1"/>
    <col min="14234" max="14234" width="11.19921875" style="3" customWidth="1"/>
    <col min="14235" max="14238" width="10" style="3" customWidth="1"/>
    <col min="14239" max="14239" width="12.796875" style="3" customWidth="1"/>
    <col min="14240" max="14240" width="14.19921875" style="3" customWidth="1"/>
    <col min="14241" max="14241" width="13.53125" style="3" customWidth="1"/>
    <col min="14242" max="14431" width="8.796875" style="3"/>
    <col min="14432" max="14432" width="5.46484375" style="3" customWidth="1"/>
    <col min="14433" max="14433" width="54.19921875" style="3" customWidth="1"/>
    <col min="14434" max="14434" width="10.46484375" style="3" customWidth="1"/>
    <col min="14435" max="14435" width="10.53125" style="3" customWidth="1"/>
    <col min="14436" max="14438" width="7.796875" style="3" customWidth="1"/>
    <col min="14439" max="14439" width="13.19921875" style="3" customWidth="1"/>
    <col min="14440" max="14440" width="11.53125" style="3" customWidth="1"/>
    <col min="14441" max="14457" width="9.46484375" style="3" customWidth="1"/>
    <col min="14458" max="14458" width="10.53125" style="3" customWidth="1"/>
    <col min="14459" max="14459" width="10" style="3" customWidth="1"/>
    <col min="14460" max="14464" width="9.46484375" style="3" customWidth="1"/>
    <col min="14465" max="14465" width="12.796875" style="3" customWidth="1"/>
    <col min="14466" max="14466" width="10.796875" style="3" customWidth="1"/>
    <col min="14467" max="14467" width="11.19921875" style="3" customWidth="1"/>
    <col min="14468" max="14470" width="9.796875" style="3" customWidth="1"/>
    <col min="14471" max="14472" width="12.46484375" style="3" customWidth="1"/>
    <col min="14473" max="14473" width="12.796875" style="3" customWidth="1"/>
    <col min="14474" max="14474" width="10.53125" style="3" customWidth="1"/>
    <col min="14475" max="14475" width="10" style="3" customWidth="1"/>
    <col min="14476" max="14478" width="10.46484375" style="3" customWidth="1"/>
    <col min="14479" max="14479" width="13" style="3" customWidth="1"/>
    <col min="14480" max="14480" width="12.46484375" style="3" customWidth="1"/>
    <col min="14481" max="14489" width="13" style="3" customWidth="1"/>
    <col min="14490" max="14490" width="11.19921875" style="3" customWidth="1"/>
    <col min="14491" max="14494" width="10" style="3" customWidth="1"/>
    <col min="14495" max="14495" width="12.796875" style="3" customWidth="1"/>
    <col min="14496" max="14496" width="14.19921875" style="3" customWidth="1"/>
    <col min="14497" max="14497" width="13.53125" style="3" customWidth="1"/>
    <col min="14498" max="14687" width="8.796875" style="3"/>
    <col min="14688" max="14688" width="5.46484375" style="3" customWidth="1"/>
    <col min="14689" max="14689" width="54.19921875" style="3" customWidth="1"/>
    <col min="14690" max="14690" width="10.46484375" style="3" customWidth="1"/>
    <col min="14691" max="14691" width="10.53125" style="3" customWidth="1"/>
    <col min="14692" max="14694" width="7.796875" style="3" customWidth="1"/>
    <col min="14695" max="14695" width="13.19921875" style="3" customWidth="1"/>
    <col min="14696" max="14696" width="11.53125" style="3" customWidth="1"/>
    <col min="14697" max="14713" width="9.46484375" style="3" customWidth="1"/>
    <col min="14714" max="14714" width="10.53125" style="3" customWidth="1"/>
    <col min="14715" max="14715" width="10" style="3" customWidth="1"/>
    <col min="14716" max="14720" width="9.46484375" style="3" customWidth="1"/>
    <col min="14721" max="14721" width="12.796875" style="3" customWidth="1"/>
    <col min="14722" max="14722" width="10.796875" style="3" customWidth="1"/>
    <col min="14723" max="14723" width="11.19921875" style="3" customWidth="1"/>
    <col min="14724" max="14726" width="9.796875" style="3" customWidth="1"/>
    <col min="14727" max="14728" width="12.46484375" style="3" customWidth="1"/>
    <col min="14729" max="14729" width="12.796875" style="3" customWidth="1"/>
    <col min="14730" max="14730" width="10.53125" style="3" customWidth="1"/>
    <col min="14731" max="14731" width="10" style="3" customWidth="1"/>
    <col min="14732" max="14734" width="10.46484375" style="3" customWidth="1"/>
    <col min="14735" max="14735" width="13" style="3" customWidth="1"/>
    <col min="14736" max="14736" width="12.46484375" style="3" customWidth="1"/>
    <col min="14737" max="14745" width="13" style="3" customWidth="1"/>
    <col min="14746" max="14746" width="11.19921875" style="3" customWidth="1"/>
    <col min="14747" max="14750" width="10" style="3" customWidth="1"/>
    <col min="14751" max="14751" width="12.796875" style="3" customWidth="1"/>
    <col min="14752" max="14752" width="14.19921875" style="3" customWidth="1"/>
    <col min="14753" max="14753" width="13.53125" style="3" customWidth="1"/>
    <col min="14754" max="14943" width="8.796875" style="3"/>
    <col min="14944" max="14944" width="5.46484375" style="3" customWidth="1"/>
    <col min="14945" max="14945" width="54.19921875" style="3" customWidth="1"/>
    <col min="14946" max="14946" width="10.46484375" style="3" customWidth="1"/>
    <col min="14947" max="14947" width="10.53125" style="3" customWidth="1"/>
    <col min="14948" max="14950" width="7.796875" style="3" customWidth="1"/>
    <col min="14951" max="14951" width="13.19921875" style="3" customWidth="1"/>
    <col min="14952" max="14952" width="11.53125" style="3" customWidth="1"/>
    <col min="14953" max="14969" width="9.46484375" style="3" customWidth="1"/>
    <col min="14970" max="14970" width="10.53125" style="3" customWidth="1"/>
    <col min="14971" max="14971" width="10" style="3" customWidth="1"/>
    <col min="14972" max="14976" width="9.46484375" style="3" customWidth="1"/>
    <col min="14977" max="14977" width="12.796875" style="3" customWidth="1"/>
    <col min="14978" max="14978" width="10.796875" style="3" customWidth="1"/>
    <col min="14979" max="14979" width="11.19921875" style="3" customWidth="1"/>
    <col min="14980" max="14982" width="9.796875" style="3" customWidth="1"/>
    <col min="14983" max="14984" width="12.46484375" style="3" customWidth="1"/>
    <col min="14985" max="14985" width="12.796875" style="3" customWidth="1"/>
    <col min="14986" max="14986" width="10.53125" style="3" customWidth="1"/>
    <col min="14987" max="14987" width="10" style="3" customWidth="1"/>
    <col min="14988" max="14990" width="10.46484375" style="3" customWidth="1"/>
    <col min="14991" max="14991" width="13" style="3" customWidth="1"/>
    <col min="14992" max="14992" width="12.46484375" style="3" customWidth="1"/>
    <col min="14993" max="15001" width="13" style="3" customWidth="1"/>
    <col min="15002" max="15002" width="11.19921875" style="3" customWidth="1"/>
    <col min="15003" max="15006" width="10" style="3" customWidth="1"/>
    <col min="15007" max="15007" width="12.796875" style="3" customWidth="1"/>
    <col min="15008" max="15008" width="14.19921875" style="3" customWidth="1"/>
    <col min="15009" max="15009" width="13.53125" style="3" customWidth="1"/>
    <col min="15010" max="15199" width="8.796875" style="3"/>
    <col min="15200" max="15200" width="5.46484375" style="3" customWidth="1"/>
    <col min="15201" max="15201" width="54.19921875" style="3" customWidth="1"/>
    <col min="15202" max="15202" width="10.46484375" style="3" customWidth="1"/>
    <col min="15203" max="15203" width="10.53125" style="3" customWidth="1"/>
    <col min="15204" max="15206" width="7.796875" style="3" customWidth="1"/>
    <col min="15207" max="15207" width="13.19921875" style="3" customWidth="1"/>
    <col min="15208" max="15208" width="11.53125" style="3" customWidth="1"/>
    <col min="15209" max="15225" width="9.46484375" style="3" customWidth="1"/>
    <col min="15226" max="15226" width="10.53125" style="3" customWidth="1"/>
    <col min="15227" max="15227" width="10" style="3" customWidth="1"/>
    <col min="15228" max="15232" width="9.46484375" style="3" customWidth="1"/>
    <col min="15233" max="15233" width="12.796875" style="3" customWidth="1"/>
    <col min="15234" max="15234" width="10.796875" style="3" customWidth="1"/>
    <col min="15235" max="15235" width="11.19921875" style="3" customWidth="1"/>
    <col min="15236" max="15238" width="9.796875" style="3" customWidth="1"/>
    <col min="15239" max="15240" width="12.46484375" style="3" customWidth="1"/>
    <col min="15241" max="15241" width="12.796875" style="3" customWidth="1"/>
    <col min="15242" max="15242" width="10.53125" style="3" customWidth="1"/>
    <col min="15243" max="15243" width="10" style="3" customWidth="1"/>
    <col min="15244" max="15246" width="10.46484375" style="3" customWidth="1"/>
    <col min="15247" max="15247" width="13" style="3" customWidth="1"/>
    <col min="15248" max="15248" width="12.46484375" style="3" customWidth="1"/>
    <col min="15249" max="15257" width="13" style="3" customWidth="1"/>
    <col min="15258" max="15258" width="11.19921875" style="3" customWidth="1"/>
    <col min="15259" max="15262" width="10" style="3" customWidth="1"/>
    <col min="15263" max="15263" width="12.796875" style="3" customWidth="1"/>
    <col min="15264" max="15264" width="14.19921875" style="3" customWidth="1"/>
    <col min="15265" max="15265" width="13.53125" style="3" customWidth="1"/>
    <col min="15266" max="15455" width="8.796875" style="3"/>
    <col min="15456" max="15456" width="5.46484375" style="3" customWidth="1"/>
    <col min="15457" max="15457" width="54.19921875" style="3" customWidth="1"/>
    <col min="15458" max="15458" width="10.46484375" style="3" customWidth="1"/>
    <col min="15459" max="15459" width="10.53125" style="3" customWidth="1"/>
    <col min="15460" max="15462" width="7.796875" style="3" customWidth="1"/>
    <col min="15463" max="15463" width="13.19921875" style="3" customWidth="1"/>
    <col min="15464" max="15464" width="11.53125" style="3" customWidth="1"/>
    <col min="15465" max="15481" width="9.46484375" style="3" customWidth="1"/>
    <col min="15482" max="15482" width="10.53125" style="3" customWidth="1"/>
    <col min="15483" max="15483" width="10" style="3" customWidth="1"/>
    <col min="15484" max="15488" width="9.46484375" style="3" customWidth="1"/>
    <col min="15489" max="15489" width="12.796875" style="3" customWidth="1"/>
    <col min="15490" max="15490" width="10.796875" style="3" customWidth="1"/>
    <col min="15491" max="15491" width="11.19921875" style="3" customWidth="1"/>
    <col min="15492" max="15494" width="9.796875" style="3" customWidth="1"/>
    <col min="15495" max="15496" width="12.46484375" style="3" customWidth="1"/>
    <col min="15497" max="15497" width="12.796875" style="3" customWidth="1"/>
    <col min="15498" max="15498" width="10.53125" style="3" customWidth="1"/>
    <col min="15499" max="15499" width="10" style="3" customWidth="1"/>
    <col min="15500" max="15502" width="10.46484375" style="3" customWidth="1"/>
    <col min="15503" max="15503" width="13" style="3" customWidth="1"/>
    <col min="15504" max="15504" width="12.46484375" style="3" customWidth="1"/>
    <col min="15505" max="15513" width="13" style="3" customWidth="1"/>
    <col min="15514" max="15514" width="11.19921875" style="3" customWidth="1"/>
    <col min="15515" max="15518" width="10" style="3" customWidth="1"/>
    <col min="15519" max="15519" width="12.796875" style="3" customWidth="1"/>
    <col min="15520" max="15520" width="14.19921875" style="3" customWidth="1"/>
    <col min="15521" max="15521" width="13.53125" style="3" customWidth="1"/>
    <col min="15522" max="15711" width="8.796875" style="3"/>
    <col min="15712" max="15712" width="5.46484375" style="3" customWidth="1"/>
    <col min="15713" max="15713" width="54.19921875" style="3" customWidth="1"/>
    <col min="15714" max="15714" width="10.46484375" style="3" customWidth="1"/>
    <col min="15715" max="15715" width="10.53125" style="3" customWidth="1"/>
    <col min="15716" max="15718" width="7.796875" style="3" customWidth="1"/>
    <col min="15719" max="15719" width="13.19921875" style="3" customWidth="1"/>
    <col min="15720" max="15720" width="11.53125" style="3" customWidth="1"/>
    <col min="15721" max="15737" width="9.46484375" style="3" customWidth="1"/>
    <col min="15738" max="15738" width="10.53125" style="3" customWidth="1"/>
    <col min="15739" max="15739" width="10" style="3" customWidth="1"/>
    <col min="15740" max="15744" width="9.46484375" style="3" customWidth="1"/>
    <col min="15745" max="15745" width="12.796875" style="3" customWidth="1"/>
    <col min="15746" max="15746" width="10.796875" style="3" customWidth="1"/>
    <col min="15747" max="15747" width="11.19921875" style="3" customWidth="1"/>
    <col min="15748" max="15750" width="9.796875" style="3" customWidth="1"/>
    <col min="15751" max="15752" width="12.46484375" style="3" customWidth="1"/>
    <col min="15753" max="15753" width="12.796875" style="3" customWidth="1"/>
    <col min="15754" max="15754" width="10.53125" style="3" customWidth="1"/>
    <col min="15755" max="15755" width="10" style="3" customWidth="1"/>
    <col min="15756" max="15758" width="10.46484375" style="3" customWidth="1"/>
    <col min="15759" max="15759" width="13" style="3" customWidth="1"/>
    <col min="15760" max="15760" width="12.46484375" style="3" customWidth="1"/>
    <col min="15761" max="15769" width="13" style="3" customWidth="1"/>
    <col min="15770" max="15770" width="11.19921875" style="3" customWidth="1"/>
    <col min="15771" max="15774" width="10" style="3" customWidth="1"/>
    <col min="15775" max="15775" width="12.796875" style="3" customWidth="1"/>
    <col min="15776" max="15776" width="14.19921875" style="3" customWidth="1"/>
    <col min="15777" max="15777" width="13.53125" style="3" customWidth="1"/>
    <col min="15778" max="15967" width="8.796875" style="3"/>
    <col min="15968" max="15968" width="5.46484375" style="3" customWidth="1"/>
    <col min="15969" max="15969" width="54.19921875" style="3" customWidth="1"/>
    <col min="15970" max="15970" width="10.46484375" style="3" customWidth="1"/>
    <col min="15971" max="15971" width="10.53125" style="3" customWidth="1"/>
    <col min="15972" max="15974" width="7.796875" style="3" customWidth="1"/>
    <col min="15975" max="15975" width="13.19921875" style="3" customWidth="1"/>
    <col min="15976" max="15976" width="11.53125" style="3" customWidth="1"/>
    <col min="15977" max="15993" width="9.46484375" style="3" customWidth="1"/>
    <col min="15994" max="15994" width="10.53125" style="3" customWidth="1"/>
    <col min="15995" max="15995" width="10" style="3" customWidth="1"/>
    <col min="15996" max="16000" width="9.46484375" style="3" customWidth="1"/>
    <col min="16001" max="16001" width="12.796875" style="3" customWidth="1"/>
    <col min="16002" max="16002" width="10.796875" style="3" customWidth="1"/>
    <col min="16003" max="16003" width="11.19921875" style="3" customWidth="1"/>
    <col min="16004" max="16006" width="9.796875" style="3" customWidth="1"/>
    <col min="16007" max="16008" width="12.46484375" style="3" customWidth="1"/>
    <col min="16009" max="16009" width="12.796875" style="3" customWidth="1"/>
    <col min="16010" max="16010" width="10.53125" style="3" customWidth="1"/>
    <col min="16011" max="16011" width="10" style="3" customWidth="1"/>
    <col min="16012" max="16014" width="10.46484375" style="3" customWidth="1"/>
    <col min="16015" max="16015" width="13" style="3" customWidth="1"/>
    <col min="16016" max="16016" width="12.46484375" style="3" customWidth="1"/>
    <col min="16017" max="16025" width="13" style="3" customWidth="1"/>
    <col min="16026" max="16026" width="11.19921875" style="3" customWidth="1"/>
    <col min="16027" max="16030" width="10" style="3" customWidth="1"/>
    <col min="16031" max="16031" width="12.796875" style="3" customWidth="1"/>
    <col min="16032" max="16032" width="14.19921875" style="3" customWidth="1"/>
    <col min="16033" max="16033" width="13.53125" style="3" customWidth="1"/>
    <col min="16034" max="16384" width="8.796875" style="3"/>
  </cols>
  <sheetData>
    <row r="1" spans="1:17">
      <c r="A1" s="1507" t="s">
        <v>1833</v>
      </c>
      <c r="B1" s="1507"/>
      <c r="C1" s="1507"/>
    </row>
    <row r="2" spans="1:17">
      <c r="A2" s="159" t="str">
        <f>+'BS1'!A2</f>
        <v>NIDP DEVELOPERS PRIVATE LIMITED</v>
      </c>
      <c r="B2" s="159"/>
    </row>
    <row r="3" spans="1:17">
      <c r="A3" s="158" t="s">
        <v>1465</v>
      </c>
      <c r="B3" s="158"/>
      <c r="C3" s="55"/>
      <c r="D3" s="55"/>
      <c r="E3" s="55"/>
      <c r="F3" s="55"/>
      <c r="G3" s="55"/>
      <c r="H3" s="55"/>
      <c r="I3" s="55"/>
      <c r="J3" s="55"/>
      <c r="K3" s="55"/>
      <c r="L3" s="55"/>
      <c r="M3" s="55"/>
      <c r="N3" s="55"/>
      <c r="O3" s="55"/>
    </row>
    <row r="4" spans="1:17">
      <c r="A4" s="20"/>
    </row>
    <row r="5" spans="1:17" ht="16.5" customHeight="1">
      <c r="A5" s="1583" t="s">
        <v>74</v>
      </c>
      <c r="B5" s="1583" t="s">
        <v>10</v>
      </c>
      <c r="C5" s="1681"/>
      <c r="D5" s="1682"/>
      <c r="E5" s="1682"/>
      <c r="F5" s="1682"/>
      <c r="G5" s="1682"/>
      <c r="H5" s="1682"/>
      <c r="I5" s="1682"/>
      <c r="J5" s="1682"/>
      <c r="K5" s="1682"/>
      <c r="L5" s="1682"/>
      <c r="M5" s="1682"/>
      <c r="N5" s="1682"/>
      <c r="O5" s="1682"/>
    </row>
    <row r="6" spans="1:17" ht="18" customHeight="1">
      <c r="A6" s="1584"/>
      <c r="B6" s="1584"/>
      <c r="C6" s="1683" t="s">
        <v>2024</v>
      </c>
      <c r="D6" s="1683"/>
      <c r="E6" s="1683"/>
      <c r="F6" s="1683"/>
      <c r="G6" s="1683"/>
      <c r="H6" s="1683"/>
      <c r="I6" s="1683"/>
      <c r="J6" s="1683"/>
      <c r="K6" s="1683"/>
      <c r="L6" s="1683"/>
      <c r="M6" s="1683"/>
      <c r="N6" s="1683"/>
      <c r="O6" s="1683"/>
    </row>
    <row r="7" spans="1:17" ht="18.75" customHeight="1">
      <c r="A7" s="1584"/>
      <c r="B7" s="1584"/>
      <c r="C7" s="1683"/>
      <c r="D7" s="1683"/>
      <c r="E7" s="1683"/>
      <c r="F7" s="1683"/>
      <c r="G7" s="1683"/>
      <c r="H7" s="1683"/>
      <c r="I7" s="1683"/>
      <c r="J7" s="1683"/>
      <c r="K7" s="1683"/>
      <c r="L7" s="1683"/>
      <c r="M7" s="1683"/>
      <c r="N7" s="1683"/>
      <c r="O7" s="1683"/>
    </row>
    <row r="8" spans="1:17" ht="99.75">
      <c r="A8" s="1680"/>
      <c r="B8" s="1680"/>
      <c r="C8" s="146" t="s">
        <v>184</v>
      </c>
      <c r="D8" s="146" t="s">
        <v>185</v>
      </c>
      <c r="E8" s="146" t="s">
        <v>186</v>
      </c>
      <c r="F8" s="146" t="s">
        <v>601</v>
      </c>
      <c r="G8" s="146" t="s">
        <v>1461</v>
      </c>
      <c r="H8" s="146" t="s">
        <v>1462</v>
      </c>
      <c r="I8" s="146" t="s">
        <v>1463</v>
      </c>
      <c r="J8" s="146" t="s">
        <v>187</v>
      </c>
      <c r="K8" s="146" t="s">
        <v>1391</v>
      </c>
      <c r="L8" s="146" t="s">
        <v>1392</v>
      </c>
      <c r="M8" s="146" t="s">
        <v>2064</v>
      </c>
      <c r="N8" s="146" t="s">
        <v>1464</v>
      </c>
      <c r="O8" s="146" t="s">
        <v>528</v>
      </c>
      <c r="Q8" s="146" t="s">
        <v>2065</v>
      </c>
    </row>
    <row r="9" spans="1:17" ht="12.75" customHeight="1">
      <c r="A9" s="51"/>
      <c r="B9" s="50"/>
      <c r="C9" s="50"/>
      <c r="D9" s="50"/>
      <c r="E9" s="50"/>
      <c r="F9" s="50"/>
      <c r="G9" s="50"/>
      <c r="H9" s="50"/>
      <c r="I9" s="50"/>
      <c r="J9" s="50"/>
      <c r="K9" s="175"/>
      <c r="L9" s="50"/>
      <c r="M9" s="50"/>
      <c r="N9" s="50"/>
      <c r="O9" s="50"/>
    </row>
    <row r="10" spans="1:17">
      <c r="A10" s="30">
        <v>1</v>
      </c>
      <c r="B10" s="40" t="str">
        <f>+'ESR3_Curr Tariff'!B10</f>
        <v>HV– 1: NON - INDUSTRIAL BULK LOADS</v>
      </c>
      <c r="C10" s="775">
        <f>+'ESR2_Sales Forecast'!AD11</f>
        <v>1</v>
      </c>
      <c r="D10" s="775">
        <f>+'ESR2_Sales Forecast'!AF11</f>
        <v>0.26060999999999995</v>
      </c>
      <c r="E10" s="773">
        <f>+'ESR2_Sales Forecast'!AE11</f>
        <v>35</v>
      </c>
      <c r="F10" s="1069">
        <f>+D10/(E20*8.76)*1000</f>
        <v>0.85</v>
      </c>
      <c r="G10" s="779">
        <f>+'ESR3_Curr Tariff'!T10</f>
        <v>8.02</v>
      </c>
      <c r="H10" s="783">
        <f>+'ESR3_Curr Tariff'!U10</f>
        <v>400</v>
      </c>
      <c r="I10" s="31"/>
      <c r="J10" s="779">
        <f>+D10*G10/10/Q10</f>
        <v>0.21112042424242419</v>
      </c>
      <c r="K10" s="775">
        <f>+H10*E20*12/10^7</f>
        <v>1.6799999999999999E-2</v>
      </c>
      <c r="L10" s="31"/>
      <c r="M10" s="671"/>
      <c r="N10" s="671"/>
      <c r="O10" s="778">
        <f>SUM(J10:N10)</f>
        <v>0.2279204242424242</v>
      </c>
      <c r="Q10" s="782">
        <f>+'ESR3_Curr Tariff'!AQ10</f>
        <v>0.99</v>
      </c>
    </row>
    <row r="11" spans="1:17">
      <c r="A11" s="5">
        <v>2</v>
      </c>
      <c r="B11" s="40" t="str">
        <f>+'ESR3_Curr Tariff'!B11</f>
        <v>HV-2 -LARGE AND HEAVY POWER</v>
      </c>
      <c r="C11" s="775">
        <f>+'ESR2_Sales Forecast'!AD12</f>
        <v>4</v>
      </c>
      <c r="D11" s="775">
        <f>+'ESR2_Sales Forecast'!AF12</f>
        <v>100.7306112</v>
      </c>
      <c r="E11" s="773">
        <f>+'ESR2_Sales Forecast'!AE12</f>
        <v>16556</v>
      </c>
      <c r="F11" s="1069">
        <f>+D11/(E21*8.76)*1000</f>
        <v>0.79967510825676014</v>
      </c>
      <c r="G11" s="779">
        <f>+'ESR3_Curr Tariff'!T11</f>
        <v>7</v>
      </c>
      <c r="H11" s="783">
        <f>+'ESR3_Curr Tariff'!U11</f>
        <v>300</v>
      </c>
      <c r="I11" s="31"/>
      <c r="J11" s="779">
        <f>+D11*G11/10/Q11</f>
        <v>71.223664484848484</v>
      </c>
      <c r="K11" s="775">
        <f>+H11*E21*12/10^7</f>
        <v>5.1766199999999998</v>
      </c>
      <c r="L11" s="31"/>
      <c r="M11" s="671"/>
      <c r="N11" s="671"/>
      <c r="O11" s="778">
        <f>SUM(J11:N11)</f>
        <v>76.400284484848484</v>
      </c>
      <c r="Q11" s="782">
        <f>+'ESR3_Curr Tariff'!AQ11</f>
        <v>0.99</v>
      </c>
    </row>
    <row r="12" spans="1:17">
      <c r="A12" s="30">
        <v>3</v>
      </c>
      <c r="B12" s="40" t="str">
        <f>+'ESR3_Curr Tariff'!B12</f>
        <v>LMV – 9: TEMPORARY SUPPLY</v>
      </c>
      <c r="C12" s="775">
        <f>+'ESR2_Sales Forecast'!AD13</f>
        <v>0</v>
      </c>
      <c r="D12" s="775">
        <f>+'ESR2_Sales Forecast'!AF13</f>
        <v>0</v>
      </c>
      <c r="E12" s="775">
        <f>+'ESR2_Sales Forecast'!AE13</f>
        <v>0</v>
      </c>
      <c r="F12" s="1069"/>
      <c r="G12" s="28"/>
      <c r="H12" s="28"/>
      <c r="I12" s="28"/>
      <c r="J12" s="28"/>
      <c r="K12" s="31"/>
      <c r="L12" s="28"/>
      <c r="M12" s="28"/>
      <c r="N12" s="28"/>
      <c r="O12" s="28"/>
    </row>
    <row r="13" spans="1:17">
      <c r="A13" s="5"/>
      <c r="B13" s="28"/>
      <c r="C13" s="7"/>
      <c r="D13" s="7"/>
      <c r="E13" s="7"/>
      <c r="F13" s="7"/>
      <c r="G13" s="7"/>
      <c r="H13" s="7"/>
      <c r="I13" s="7"/>
      <c r="J13" s="7"/>
      <c r="K13" s="31"/>
      <c r="L13" s="7"/>
      <c r="M13" s="7"/>
      <c r="N13" s="7"/>
      <c r="O13" s="7"/>
    </row>
    <row r="14" spans="1:17">
      <c r="A14" s="28"/>
      <c r="B14" s="28"/>
      <c r="C14" s="31"/>
      <c r="D14" s="31"/>
      <c r="E14" s="31"/>
      <c r="F14" s="31"/>
      <c r="G14" s="31"/>
      <c r="H14" s="31"/>
      <c r="I14" s="31"/>
      <c r="J14" s="31"/>
      <c r="K14" s="31"/>
      <c r="L14" s="31"/>
      <c r="M14" s="31"/>
      <c r="N14" s="31"/>
      <c r="O14" s="31"/>
    </row>
    <row r="15" spans="1:17">
      <c r="A15" s="28"/>
      <c r="B15" s="42" t="s">
        <v>223</v>
      </c>
      <c r="C15" s="774">
        <f>SUM(C10:C14)</f>
        <v>5</v>
      </c>
      <c r="D15" s="132">
        <f>SUM(D10:D14)</f>
        <v>100.9912212</v>
      </c>
      <c r="E15" s="774">
        <f>SUM(E10:E14)</f>
        <v>16591</v>
      </c>
      <c r="F15" s="161"/>
      <c r="G15" s="161"/>
      <c r="H15" s="161"/>
      <c r="I15" s="161"/>
      <c r="J15" s="132">
        <f>SUM(J10:J14)</f>
        <v>71.434784909090908</v>
      </c>
      <c r="K15" s="132">
        <f>SUM(K10:K14)</f>
        <v>5.1934199999999997</v>
      </c>
      <c r="L15" s="132">
        <f>SUM(L10:L14)</f>
        <v>0</v>
      </c>
      <c r="M15" s="132"/>
      <c r="N15" s="132">
        <f>SUM(N10:N14)</f>
        <v>0</v>
      </c>
      <c r="O15" s="132">
        <f>SUM(O10:O14)</f>
        <v>76.628204909090911</v>
      </c>
    </row>
    <row r="16" spans="1:17">
      <c r="A16" s="3" t="s">
        <v>1579</v>
      </c>
    </row>
    <row r="17" spans="1:15">
      <c r="A17" s="1507" t="s">
        <v>1580</v>
      </c>
      <c r="B17" s="1507"/>
      <c r="C17" s="1507"/>
      <c r="D17" s="1507"/>
      <c r="E17" s="1507"/>
      <c r="F17" s="1507"/>
      <c r="G17" s="1507"/>
    </row>
    <row r="19" spans="1:15">
      <c r="E19" s="146" t="s">
        <v>2112</v>
      </c>
      <c r="J19" s="20"/>
      <c r="K19" s="20"/>
      <c r="L19" s="20"/>
      <c r="M19" s="20"/>
      <c r="N19" s="20"/>
      <c r="O19" s="20"/>
    </row>
    <row r="20" spans="1:15">
      <c r="E20" s="780">
        <f>+'ESR3_Curr Tariff'!AE21</f>
        <v>35</v>
      </c>
    </row>
    <row r="21" spans="1:15">
      <c r="E21" s="780">
        <f>+'ESR3_Curr Tariff'!AE22</f>
        <v>14379.5</v>
      </c>
    </row>
    <row r="22" spans="1:15">
      <c r="E22" s="784">
        <f>+E20+E21</f>
        <v>14414.5</v>
      </c>
    </row>
  </sheetData>
  <mergeCells count="7">
    <mergeCell ref="A17:G17"/>
    <mergeCell ref="A1:C1"/>
    <mergeCell ref="A5:A8"/>
    <mergeCell ref="B5:B8"/>
    <mergeCell ref="C5:O5"/>
    <mergeCell ref="C6:O6"/>
    <mergeCell ref="C7:O7"/>
  </mergeCells>
  <printOptions horizontalCentered="1"/>
  <pageMargins left="0.19685039370078741" right="0.19685039370078741" top="0.51181102362204722" bottom="0.51181102362204722" header="0.31496062992125984" footer="0.31496062992125984"/>
  <pageSetup paperSize="5"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FFFF"/>
    <pageSetUpPr fitToPage="1"/>
  </sheetPr>
  <dimension ref="A1:S280"/>
  <sheetViews>
    <sheetView view="pageBreakPreview" topLeftCell="A191" zoomScale="86" zoomScaleNormal="62" zoomScaleSheetLayoutView="86" workbookViewId="0">
      <selection activeCell="B250" sqref="B250:F250"/>
    </sheetView>
  </sheetViews>
  <sheetFormatPr defaultColWidth="9.19921875" defaultRowHeight="14.25"/>
  <cols>
    <col min="1" max="1" width="11.19921875" style="351" customWidth="1"/>
    <col min="2" max="2" width="117.6640625" style="351" bestFit="1" customWidth="1"/>
    <col min="3" max="3" width="13.19921875" style="351" bestFit="1" customWidth="1"/>
    <col min="4" max="4" width="14.796875" style="351" bestFit="1" customWidth="1"/>
    <col min="5" max="5" width="9.53125" style="351" bestFit="1" customWidth="1"/>
    <col min="6" max="6" width="26.796875" style="351" customWidth="1"/>
    <col min="7" max="16384" width="9.19921875" style="227"/>
  </cols>
  <sheetData>
    <row r="1" spans="1:19">
      <c r="A1" s="219" t="s">
        <v>1834</v>
      </c>
      <c r="B1" s="219"/>
      <c r="C1" s="219"/>
      <c r="D1" s="219"/>
      <c r="E1" s="219"/>
      <c r="F1" s="219"/>
      <c r="G1" s="219"/>
      <c r="H1" s="219"/>
      <c r="I1" s="219"/>
      <c r="J1" s="219"/>
    </row>
    <row r="2" spans="1:19">
      <c r="A2" s="241" t="str">
        <f>'BS1'!A2</f>
        <v>NIDP DEVELOPERS PRIVATE LIMITED</v>
      </c>
      <c r="B2" s="34"/>
      <c r="C2" s="34"/>
      <c r="D2" s="34"/>
      <c r="E2" s="34"/>
      <c r="F2" s="34"/>
      <c r="G2" s="34"/>
      <c r="H2" s="34"/>
      <c r="I2" s="34"/>
      <c r="J2"/>
    </row>
    <row r="3" spans="1:19">
      <c r="A3" s="279" t="s">
        <v>1180</v>
      </c>
      <c r="B3" s="279"/>
      <c r="C3" s="279"/>
      <c r="D3" s="279"/>
      <c r="E3" s="279"/>
      <c r="F3" s="279"/>
      <c r="G3" s="279"/>
      <c r="H3" s="279"/>
      <c r="I3" s="279"/>
      <c r="J3" s="279"/>
    </row>
    <row r="4" spans="1:19">
      <c r="A4" s="9"/>
      <c r="B4" s="9"/>
      <c r="C4" s="9"/>
      <c r="D4" s="9"/>
      <c r="E4" s="9"/>
    </row>
    <row r="5" spans="1:19" ht="21" customHeight="1">
      <c r="A5" s="376"/>
      <c r="B5" s="375"/>
      <c r="C5" s="376"/>
      <c r="D5" s="376"/>
      <c r="E5" s="376"/>
      <c r="F5" s="376"/>
      <c r="G5" s="326"/>
      <c r="H5" s="326"/>
      <c r="I5" s="326"/>
      <c r="J5" s="326"/>
      <c r="K5" s="326"/>
      <c r="L5" s="326"/>
      <c r="M5" s="326"/>
      <c r="N5" s="326"/>
      <c r="O5" s="326"/>
      <c r="P5" s="326"/>
      <c r="Q5" s="326"/>
      <c r="R5" s="326"/>
      <c r="S5" s="326"/>
    </row>
    <row r="6" spans="1:19" ht="28.5">
      <c r="A6" s="352"/>
      <c r="B6" s="352" t="s">
        <v>1614</v>
      </c>
      <c r="C6" s="352" t="s">
        <v>795</v>
      </c>
      <c r="D6" s="352" t="s">
        <v>997</v>
      </c>
      <c r="E6" s="352" t="s">
        <v>1221</v>
      </c>
      <c r="F6" s="352" t="s">
        <v>1222</v>
      </c>
    </row>
    <row r="7" spans="1:19" hidden="1">
      <c r="A7" s="353" t="s">
        <v>796</v>
      </c>
      <c r="B7" s="1706" t="s">
        <v>797</v>
      </c>
      <c r="C7" s="1707"/>
      <c r="D7" s="1707"/>
      <c r="E7" s="1707"/>
      <c r="F7" s="1708"/>
    </row>
    <row r="8" spans="1:19" hidden="1">
      <c r="A8" s="327" t="s">
        <v>798</v>
      </c>
      <c r="B8" s="1687" t="s">
        <v>799</v>
      </c>
      <c r="C8" s="1687"/>
      <c r="D8" s="1687"/>
      <c r="E8" s="1687"/>
      <c r="F8" s="1687"/>
    </row>
    <row r="9" spans="1:19" ht="16.5" hidden="1" customHeight="1">
      <c r="A9" s="328" t="s">
        <v>800</v>
      </c>
      <c r="B9" s="1687" t="s">
        <v>801</v>
      </c>
      <c r="C9" s="1687"/>
      <c r="D9" s="1687"/>
      <c r="E9" s="1687"/>
      <c r="F9" s="1687"/>
    </row>
    <row r="10" spans="1:19" hidden="1">
      <c r="A10" s="331" t="s">
        <v>802</v>
      </c>
      <c r="B10" s="329" t="s">
        <v>803</v>
      </c>
      <c r="C10" s="329"/>
      <c r="D10" s="329"/>
      <c r="E10" s="329"/>
      <c r="F10" s="330"/>
    </row>
    <row r="11" spans="1:19" hidden="1">
      <c r="A11" s="234" t="s">
        <v>802</v>
      </c>
      <c r="B11" s="332" t="s">
        <v>804</v>
      </c>
      <c r="C11" s="332"/>
      <c r="D11" s="332"/>
      <c r="E11" s="332"/>
      <c r="F11" s="333"/>
    </row>
    <row r="12" spans="1:19" hidden="1">
      <c r="A12" s="328" t="s">
        <v>807</v>
      </c>
      <c r="B12" s="334" t="s">
        <v>806</v>
      </c>
      <c r="C12" s="334"/>
      <c r="D12" s="334"/>
      <c r="E12" s="334"/>
      <c r="F12" s="332"/>
    </row>
    <row r="13" spans="1:19" hidden="1">
      <c r="A13" s="234" t="s">
        <v>802</v>
      </c>
      <c r="B13" s="329" t="s">
        <v>808</v>
      </c>
      <c r="C13" s="329"/>
      <c r="D13" s="329"/>
      <c r="E13" s="329"/>
      <c r="F13" s="332"/>
    </row>
    <row r="14" spans="1:19" hidden="1">
      <c r="A14" s="331"/>
      <c r="B14" s="329" t="s">
        <v>809</v>
      </c>
      <c r="C14" s="329"/>
      <c r="D14" s="329"/>
      <c r="E14" s="329"/>
      <c r="F14" s="330"/>
      <c r="G14" s="335"/>
    </row>
    <row r="15" spans="1:19" hidden="1">
      <c r="A15" s="328" t="s">
        <v>811</v>
      </c>
      <c r="B15" s="334" t="s">
        <v>810</v>
      </c>
      <c r="C15" s="334"/>
      <c r="D15" s="334"/>
      <c r="E15" s="334"/>
      <c r="F15" s="332"/>
    </row>
    <row r="16" spans="1:19" hidden="1">
      <c r="A16" s="331" t="s">
        <v>802</v>
      </c>
      <c r="B16" s="329" t="s">
        <v>812</v>
      </c>
      <c r="C16" s="329"/>
      <c r="D16" s="329"/>
      <c r="E16" s="329"/>
      <c r="F16" s="330"/>
    </row>
    <row r="17" spans="1:6" hidden="1">
      <c r="A17" s="234" t="s">
        <v>802</v>
      </c>
      <c r="B17" s="329" t="s">
        <v>813</v>
      </c>
      <c r="C17" s="329"/>
      <c r="D17" s="329"/>
      <c r="E17" s="329"/>
      <c r="F17" s="330"/>
    </row>
    <row r="18" spans="1:6" hidden="1">
      <c r="A18" s="234"/>
      <c r="B18" s="329" t="s">
        <v>814</v>
      </c>
      <c r="C18" s="329"/>
      <c r="D18" s="329"/>
      <c r="E18" s="329"/>
      <c r="F18" s="330"/>
    </row>
    <row r="19" spans="1:6" hidden="1">
      <c r="A19" s="234"/>
      <c r="B19" s="329" t="s">
        <v>815</v>
      </c>
      <c r="C19" s="329"/>
      <c r="D19" s="329"/>
      <c r="E19" s="329"/>
      <c r="F19" s="330"/>
    </row>
    <row r="20" spans="1:6" hidden="1">
      <c r="A20" s="234"/>
      <c r="B20" s="329" t="s">
        <v>816</v>
      </c>
      <c r="C20" s="329"/>
      <c r="D20" s="329"/>
      <c r="E20" s="329"/>
      <c r="F20" s="330"/>
    </row>
    <row r="21" spans="1:6" hidden="1">
      <c r="A21" s="234"/>
      <c r="B21" s="329" t="s">
        <v>817</v>
      </c>
      <c r="C21" s="329"/>
      <c r="D21" s="329"/>
      <c r="E21" s="329"/>
      <c r="F21" s="330"/>
    </row>
    <row r="22" spans="1:6" hidden="1">
      <c r="A22" s="234"/>
      <c r="B22" s="332"/>
      <c r="C22" s="332"/>
      <c r="D22" s="332"/>
      <c r="E22" s="332"/>
      <c r="F22" s="330"/>
    </row>
    <row r="23" spans="1:6" ht="29" hidden="1" customHeight="1">
      <c r="A23" s="328" t="s">
        <v>818</v>
      </c>
      <c r="B23" s="1687" t="s">
        <v>819</v>
      </c>
      <c r="C23" s="1687"/>
      <c r="D23" s="1687"/>
      <c r="E23" s="1687"/>
      <c r="F23" s="1687"/>
    </row>
    <row r="24" spans="1:6" hidden="1">
      <c r="A24" s="331" t="s">
        <v>802</v>
      </c>
      <c r="B24" s="329" t="s">
        <v>803</v>
      </c>
      <c r="C24" s="329"/>
      <c r="D24" s="329"/>
      <c r="E24" s="329"/>
      <c r="F24" s="330"/>
    </row>
    <row r="25" spans="1:6" hidden="1">
      <c r="A25" s="234" t="s">
        <v>802</v>
      </c>
      <c r="B25" s="332" t="s">
        <v>820</v>
      </c>
      <c r="C25" s="332"/>
      <c r="D25" s="332"/>
      <c r="E25" s="332"/>
      <c r="F25" s="333"/>
    </row>
    <row r="26" spans="1:6" hidden="1">
      <c r="A26" s="234"/>
      <c r="B26" s="1685" t="s">
        <v>821</v>
      </c>
      <c r="C26" s="1685"/>
      <c r="D26" s="1685"/>
      <c r="E26" s="1685"/>
      <c r="F26" s="1685"/>
    </row>
    <row r="27" spans="1:6" hidden="1">
      <c r="A27" s="328" t="s">
        <v>622</v>
      </c>
      <c r="B27" s="1687" t="s">
        <v>822</v>
      </c>
      <c r="C27" s="1687"/>
      <c r="D27" s="1687"/>
      <c r="E27" s="1687"/>
      <c r="F27" s="1687"/>
    </row>
    <row r="28" spans="1:6" hidden="1">
      <c r="A28" s="328" t="s">
        <v>805</v>
      </c>
      <c r="B28" s="1687" t="s">
        <v>801</v>
      </c>
      <c r="C28" s="1687"/>
      <c r="D28" s="1687"/>
      <c r="E28" s="1687"/>
      <c r="F28" s="1687"/>
    </row>
    <row r="29" spans="1:6" hidden="1">
      <c r="A29" s="331" t="s">
        <v>802</v>
      </c>
      <c r="B29" s="329" t="s">
        <v>803</v>
      </c>
      <c r="C29" s="329"/>
      <c r="D29" s="329"/>
      <c r="E29" s="329"/>
      <c r="F29" s="330"/>
    </row>
    <row r="30" spans="1:6" hidden="1">
      <c r="A30" s="234" t="s">
        <v>802</v>
      </c>
      <c r="B30" s="332" t="s">
        <v>804</v>
      </c>
      <c r="C30" s="332"/>
      <c r="D30" s="332"/>
      <c r="E30" s="332"/>
      <c r="F30" s="333"/>
    </row>
    <row r="31" spans="1:6" hidden="1">
      <c r="A31" s="328" t="s">
        <v>807</v>
      </c>
      <c r="B31" s="1687" t="s">
        <v>823</v>
      </c>
      <c r="C31" s="1687"/>
      <c r="D31" s="1687"/>
      <c r="E31" s="1687"/>
      <c r="F31" s="1687"/>
    </row>
    <row r="32" spans="1:6" hidden="1">
      <c r="A32" s="331" t="s">
        <v>802</v>
      </c>
      <c r="B32" s="329" t="s">
        <v>803</v>
      </c>
      <c r="C32" s="329"/>
      <c r="D32" s="329"/>
      <c r="E32" s="329"/>
      <c r="F32" s="330"/>
    </row>
    <row r="33" spans="1:6" hidden="1">
      <c r="A33" s="234" t="s">
        <v>802</v>
      </c>
      <c r="B33" s="332" t="s">
        <v>824</v>
      </c>
      <c r="C33" s="332"/>
      <c r="D33" s="332"/>
      <c r="E33" s="332"/>
      <c r="F33" s="333" t="s">
        <v>802</v>
      </c>
    </row>
    <row r="34" spans="1:6" hidden="1">
      <c r="A34" s="234" t="s">
        <v>802</v>
      </c>
      <c r="B34" s="332" t="s">
        <v>825</v>
      </c>
      <c r="C34" s="332"/>
      <c r="D34" s="332"/>
      <c r="E34" s="332"/>
      <c r="F34" s="333"/>
    </row>
    <row r="35" spans="1:6" hidden="1">
      <c r="A35" s="234" t="s">
        <v>802</v>
      </c>
      <c r="B35" s="332" t="s">
        <v>826</v>
      </c>
      <c r="C35" s="332"/>
      <c r="D35" s="332"/>
      <c r="E35" s="332"/>
      <c r="F35" s="333"/>
    </row>
    <row r="36" spans="1:6" hidden="1">
      <c r="A36" s="234"/>
      <c r="B36" s="332" t="s">
        <v>827</v>
      </c>
      <c r="C36" s="332"/>
      <c r="D36" s="332"/>
      <c r="E36" s="332"/>
      <c r="F36" s="333"/>
    </row>
    <row r="37" spans="1:6" hidden="1">
      <c r="A37" s="234"/>
      <c r="B37" s="332" t="s">
        <v>828</v>
      </c>
      <c r="C37" s="332"/>
      <c r="D37" s="332"/>
      <c r="E37" s="332"/>
      <c r="F37" s="333"/>
    </row>
    <row r="38" spans="1:6" hidden="1">
      <c r="A38" s="354" t="s">
        <v>699</v>
      </c>
      <c r="B38" s="1703" t="s">
        <v>829</v>
      </c>
      <c r="C38" s="1704"/>
      <c r="D38" s="1704"/>
      <c r="E38" s="1704"/>
      <c r="F38" s="1705"/>
    </row>
    <row r="39" spans="1:6" hidden="1">
      <c r="A39" s="328" t="s">
        <v>798</v>
      </c>
      <c r="B39" s="1687" t="s">
        <v>830</v>
      </c>
      <c r="C39" s="1687"/>
      <c r="D39" s="1687"/>
      <c r="E39" s="1687"/>
      <c r="F39" s="1687"/>
    </row>
    <row r="40" spans="1:6" hidden="1">
      <c r="A40" s="328" t="s">
        <v>805</v>
      </c>
      <c r="B40" s="334" t="s">
        <v>831</v>
      </c>
      <c r="C40" s="334"/>
      <c r="D40" s="334"/>
      <c r="E40" s="334"/>
      <c r="F40" s="332" t="s">
        <v>802</v>
      </c>
    </row>
    <row r="41" spans="1:6" hidden="1">
      <c r="A41" s="234" t="s">
        <v>802</v>
      </c>
      <c r="B41" s="329" t="s">
        <v>803</v>
      </c>
      <c r="C41" s="329"/>
      <c r="D41" s="329"/>
      <c r="E41" s="329"/>
      <c r="F41" s="332"/>
    </row>
    <row r="42" spans="1:6" hidden="1">
      <c r="A42" s="331"/>
      <c r="B42" s="329" t="s">
        <v>832</v>
      </c>
      <c r="C42" s="329"/>
      <c r="D42" s="329"/>
      <c r="E42" s="329"/>
      <c r="F42" s="330"/>
    </row>
    <row r="43" spans="1:6" hidden="1">
      <c r="A43" s="328" t="s">
        <v>807</v>
      </c>
      <c r="B43" s="334" t="s">
        <v>833</v>
      </c>
      <c r="C43" s="334"/>
      <c r="D43" s="334"/>
      <c r="E43" s="334"/>
      <c r="F43" s="333"/>
    </row>
    <row r="44" spans="1:6" hidden="1">
      <c r="A44" s="331" t="s">
        <v>802</v>
      </c>
      <c r="B44" s="329" t="s">
        <v>803</v>
      </c>
      <c r="C44" s="329"/>
      <c r="D44" s="329"/>
      <c r="E44" s="329"/>
      <c r="F44" s="330"/>
    </row>
    <row r="45" spans="1:6" hidden="1">
      <c r="A45" s="234" t="s">
        <v>802</v>
      </c>
      <c r="B45" s="332" t="s">
        <v>820</v>
      </c>
      <c r="C45" s="332"/>
      <c r="D45" s="332"/>
      <c r="E45" s="332"/>
      <c r="F45" s="333"/>
    </row>
    <row r="46" spans="1:6" hidden="1">
      <c r="A46" s="328" t="s">
        <v>818</v>
      </c>
      <c r="B46" s="1687" t="s">
        <v>834</v>
      </c>
      <c r="C46" s="1687"/>
      <c r="D46" s="1687"/>
      <c r="E46" s="1687"/>
      <c r="F46" s="1687"/>
    </row>
    <row r="47" spans="1:6" hidden="1">
      <c r="A47" s="234" t="s">
        <v>802</v>
      </c>
      <c r="B47" s="334" t="s">
        <v>833</v>
      </c>
      <c r="C47" s="334"/>
      <c r="D47" s="334"/>
      <c r="E47" s="334"/>
      <c r="F47" s="332" t="s">
        <v>802</v>
      </c>
    </row>
    <row r="48" spans="1:6" hidden="1">
      <c r="A48" s="331" t="s">
        <v>802</v>
      </c>
      <c r="B48" s="329" t="s">
        <v>835</v>
      </c>
      <c r="C48" s="329"/>
      <c r="D48" s="329"/>
      <c r="E48" s="329"/>
      <c r="F48" s="331"/>
    </row>
    <row r="49" spans="1:6" hidden="1">
      <c r="A49" s="234" t="s">
        <v>802</v>
      </c>
      <c r="B49" s="332" t="s">
        <v>820</v>
      </c>
      <c r="C49" s="332"/>
      <c r="D49" s="332"/>
      <c r="E49" s="332"/>
      <c r="F49" s="333"/>
    </row>
    <row r="50" spans="1:6" hidden="1">
      <c r="A50" s="234" t="s">
        <v>802</v>
      </c>
      <c r="B50" s="332" t="s">
        <v>836</v>
      </c>
      <c r="C50" s="332"/>
      <c r="D50" s="332"/>
      <c r="E50" s="332"/>
      <c r="F50" s="333"/>
    </row>
    <row r="51" spans="1:6" hidden="1">
      <c r="A51" s="328" t="s">
        <v>622</v>
      </c>
      <c r="B51" s="1687" t="s">
        <v>837</v>
      </c>
      <c r="C51" s="1687"/>
      <c r="D51" s="1687"/>
      <c r="E51" s="1687"/>
      <c r="F51" s="1687"/>
    </row>
    <row r="52" spans="1:6" hidden="1">
      <c r="A52" s="331" t="s">
        <v>802</v>
      </c>
      <c r="B52" s="329" t="s">
        <v>838</v>
      </c>
      <c r="C52" s="329"/>
      <c r="D52" s="329"/>
      <c r="E52" s="329"/>
      <c r="F52" s="330"/>
    </row>
    <row r="53" spans="1:6" hidden="1">
      <c r="A53" s="331"/>
      <c r="B53" s="329" t="s">
        <v>839</v>
      </c>
      <c r="C53" s="329"/>
      <c r="D53" s="329"/>
      <c r="E53" s="329"/>
      <c r="F53" s="330"/>
    </row>
    <row r="54" spans="1:6" hidden="1">
      <c r="A54" s="331"/>
      <c r="B54" s="329" t="s">
        <v>840</v>
      </c>
      <c r="C54" s="329"/>
      <c r="D54" s="329"/>
      <c r="E54" s="329"/>
      <c r="F54" s="330"/>
    </row>
    <row r="55" spans="1:6" hidden="1">
      <c r="A55" s="234" t="s">
        <v>802</v>
      </c>
      <c r="B55" s="332" t="s">
        <v>841</v>
      </c>
      <c r="C55" s="332"/>
      <c r="D55" s="332"/>
      <c r="E55" s="332"/>
      <c r="F55" s="333"/>
    </row>
    <row r="56" spans="1:6" hidden="1">
      <c r="A56" s="234"/>
      <c r="B56" s="332" t="s">
        <v>842</v>
      </c>
      <c r="C56" s="332"/>
      <c r="D56" s="332"/>
      <c r="E56" s="332"/>
      <c r="F56" s="333"/>
    </row>
    <row r="57" spans="1:6" hidden="1">
      <c r="A57" s="234" t="s">
        <v>802</v>
      </c>
      <c r="B57" s="332" t="s">
        <v>843</v>
      </c>
      <c r="C57" s="332"/>
      <c r="D57" s="332"/>
      <c r="E57" s="332"/>
      <c r="F57" s="333"/>
    </row>
    <row r="58" spans="1:6" hidden="1">
      <c r="A58" s="234"/>
      <c r="B58" s="332" t="s">
        <v>844</v>
      </c>
      <c r="C58" s="332"/>
      <c r="D58" s="332"/>
      <c r="E58" s="332"/>
      <c r="F58" s="333"/>
    </row>
    <row r="59" spans="1:6" hidden="1">
      <c r="A59" s="234"/>
      <c r="B59" s="332" t="s">
        <v>845</v>
      </c>
      <c r="C59" s="332"/>
      <c r="D59" s="332"/>
      <c r="E59" s="332"/>
      <c r="F59" s="333"/>
    </row>
    <row r="60" spans="1:6" hidden="1">
      <c r="A60" s="354" t="s">
        <v>700</v>
      </c>
      <c r="B60" s="1703" t="s">
        <v>846</v>
      </c>
      <c r="C60" s="1704"/>
      <c r="D60" s="1704"/>
      <c r="E60" s="1704"/>
      <c r="F60" s="1705"/>
    </row>
    <row r="61" spans="1:6" hidden="1">
      <c r="A61" s="334"/>
      <c r="B61" s="1687" t="s">
        <v>847</v>
      </c>
      <c r="C61" s="1687"/>
      <c r="D61" s="1687"/>
      <c r="E61" s="1687"/>
      <c r="F61" s="1687"/>
    </row>
    <row r="62" spans="1:6" hidden="1">
      <c r="A62" s="329"/>
      <c r="B62" s="329" t="s">
        <v>848</v>
      </c>
      <c r="C62" s="329"/>
      <c r="D62" s="329"/>
      <c r="E62" s="329"/>
      <c r="F62" s="330"/>
    </row>
    <row r="63" spans="1:6" hidden="1">
      <c r="A63" s="329"/>
      <c r="B63" s="329" t="s">
        <v>849</v>
      </c>
      <c r="C63" s="329"/>
      <c r="D63" s="329"/>
      <c r="E63" s="329"/>
      <c r="F63" s="330"/>
    </row>
    <row r="64" spans="1:6" hidden="1">
      <c r="A64" s="329"/>
      <c r="B64" s="329" t="s">
        <v>850</v>
      </c>
      <c r="C64" s="329"/>
      <c r="D64" s="329"/>
      <c r="E64" s="329"/>
      <c r="F64" s="330"/>
    </row>
    <row r="65" spans="1:6" hidden="1">
      <c r="A65" s="334"/>
      <c r="B65" s="1687" t="s">
        <v>851</v>
      </c>
      <c r="C65" s="1687"/>
      <c r="D65" s="1687"/>
      <c r="E65" s="1687"/>
      <c r="F65" s="1687"/>
    </row>
    <row r="66" spans="1:6" hidden="1">
      <c r="A66" s="334"/>
      <c r="B66" s="334" t="s">
        <v>835</v>
      </c>
      <c r="C66" s="334"/>
      <c r="D66" s="334"/>
      <c r="E66" s="334"/>
      <c r="F66" s="332"/>
    </row>
    <row r="67" spans="1:6" hidden="1">
      <c r="A67" s="329"/>
      <c r="B67" s="329" t="s">
        <v>852</v>
      </c>
      <c r="C67" s="329"/>
      <c r="D67" s="329"/>
      <c r="E67" s="329"/>
      <c r="F67" s="330"/>
    </row>
    <row r="68" spans="1:6" hidden="1">
      <c r="A68" s="329"/>
      <c r="B68" s="329" t="s">
        <v>853</v>
      </c>
      <c r="C68" s="329"/>
      <c r="D68" s="329"/>
      <c r="E68" s="329"/>
      <c r="F68" s="330"/>
    </row>
    <row r="69" spans="1:6" hidden="1">
      <c r="A69" s="329"/>
      <c r="B69" s="329" t="s">
        <v>854</v>
      </c>
      <c r="C69" s="329"/>
      <c r="D69" s="329"/>
      <c r="E69" s="329"/>
      <c r="F69" s="330"/>
    </row>
    <row r="70" spans="1:6" hidden="1">
      <c r="A70" s="334"/>
      <c r="B70" s="334" t="s">
        <v>824</v>
      </c>
      <c r="C70" s="334"/>
      <c r="D70" s="334"/>
      <c r="E70" s="334"/>
      <c r="F70" s="333"/>
    </row>
    <row r="71" spans="1:6" hidden="1">
      <c r="A71" s="332"/>
      <c r="B71" s="332" t="s">
        <v>855</v>
      </c>
      <c r="C71" s="332"/>
      <c r="D71" s="332"/>
      <c r="E71" s="332"/>
      <c r="F71" s="333"/>
    </row>
    <row r="72" spans="1:6" hidden="1">
      <c r="A72" s="332"/>
      <c r="B72" s="332" t="s">
        <v>856</v>
      </c>
      <c r="C72" s="332"/>
      <c r="D72" s="332"/>
      <c r="E72" s="332"/>
      <c r="F72" s="333"/>
    </row>
    <row r="73" spans="1:6" hidden="1">
      <c r="A73" s="332"/>
      <c r="B73" s="332" t="s">
        <v>857</v>
      </c>
      <c r="C73" s="332"/>
      <c r="D73" s="332"/>
      <c r="E73" s="332"/>
      <c r="F73" s="333"/>
    </row>
    <row r="74" spans="1:6" hidden="1">
      <c r="A74" s="332"/>
      <c r="B74" s="332" t="s">
        <v>858</v>
      </c>
      <c r="C74" s="332"/>
      <c r="D74" s="332"/>
      <c r="E74" s="332"/>
      <c r="F74" s="332"/>
    </row>
    <row r="75" spans="1:6" hidden="1">
      <c r="A75" s="332"/>
      <c r="B75" s="332" t="s">
        <v>858</v>
      </c>
      <c r="C75" s="332"/>
      <c r="D75" s="332"/>
      <c r="E75" s="332"/>
      <c r="F75" s="332"/>
    </row>
    <row r="76" spans="1:6" hidden="1">
      <c r="A76" s="354" t="s">
        <v>859</v>
      </c>
      <c r="B76" s="1700" t="s">
        <v>860</v>
      </c>
      <c r="C76" s="1701"/>
      <c r="D76" s="1701"/>
      <c r="E76" s="1701"/>
      <c r="F76" s="1702"/>
    </row>
    <row r="77" spans="1:6" hidden="1">
      <c r="A77" s="328" t="s">
        <v>861</v>
      </c>
      <c r="B77" s="1687" t="s">
        <v>862</v>
      </c>
      <c r="C77" s="1687"/>
      <c r="D77" s="1687"/>
      <c r="E77" s="1687"/>
      <c r="F77" s="1687"/>
    </row>
    <row r="78" spans="1:6" hidden="1">
      <c r="A78" s="331" t="s">
        <v>802</v>
      </c>
      <c r="B78" s="329" t="s">
        <v>863</v>
      </c>
      <c r="C78" s="329"/>
      <c r="D78" s="329"/>
      <c r="E78" s="329"/>
      <c r="F78" s="330"/>
    </row>
    <row r="79" spans="1:6" hidden="1">
      <c r="A79" s="331"/>
      <c r="B79" s="329"/>
      <c r="C79" s="329"/>
      <c r="D79" s="329"/>
      <c r="E79" s="329"/>
      <c r="F79" s="330"/>
    </row>
    <row r="80" spans="1:6" hidden="1">
      <c r="A80" s="331"/>
      <c r="B80" s="329"/>
      <c r="C80" s="329"/>
      <c r="D80" s="329"/>
      <c r="E80" s="329"/>
      <c r="F80" s="330"/>
    </row>
    <row r="81" spans="1:6" hidden="1">
      <c r="A81" s="234" t="s">
        <v>802</v>
      </c>
      <c r="B81" s="332" t="s">
        <v>864</v>
      </c>
      <c r="C81" s="332"/>
      <c r="D81" s="332"/>
      <c r="E81" s="332"/>
      <c r="F81" s="333"/>
    </row>
    <row r="82" spans="1:6" hidden="1">
      <c r="A82" s="234"/>
      <c r="B82" s="332" t="s">
        <v>865</v>
      </c>
      <c r="C82" s="332"/>
      <c r="D82" s="332"/>
      <c r="E82" s="332"/>
      <c r="F82" s="333"/>
    </row>
    <row r="83" spans="1:6" hidden="1">
      <c r="A83" s="234"/>
      <c r="B83" s="332" t="s">
        <v>866</v>
      </c>
      <c r="C83" s="332"/>
      <c r="D83" s="332"/>
      <c r="E83" s="332"/>
      <c r="F83" s="333"/>
    </row>
    <row r="84" spans="1:6" hidden="1">
      <c r="A84" s="328" t="s">
        <v>867</v>
      </c>
      <c r="B84" s="1687" t="s">
        <v>868</v>
      </c>
      <c r="C84" s="1687"/>
      <c r="D84" s="1687"/>
      <c r="E84" s="1687"/>
      <c r="F84" s="1687"/>
    </row>
    <row r="85" spans="1:6" hidden="1">
      <c r="A85" s="331" t="s">
        <v>802</v>
      </c>
      <c r="B85" s="329" t="s">
        <v>869</v>
      </c>
      <c r="C85" s="329"/>
      <c r="D85" s="329"/>
      <c r="E85" s="329"/>
      <c r="F85" s="330"/>
    </row>
    <row r="86" spans="1:6" hidden="1">
      <c r="A86" s="331"/>
      <c r="B86" s="329" t="s">
        <v>870</v>
      </c>
      <c r="C86" s="329"/>
      <c r="D86" s="329"/>
      <c r="E86" s="329"/>
      <c r="F86" s="330"/>
    </row>
    <row r="87" spans="1:6" hidden="1">
      <c r="A87" s="234"/>
      <c r="B87" s="332" t="s">
        <v>864</v>
      </c>
      <c r="C87" s="332"/>
      <c r="D87" s="332"/>
      <c r="E87" s="332"/>
      <c r="F87" s="333"/>
    </row>
    <row r="88" spans="1:6" hidden="1">
      <c r="A88" s="234" t="s">
        <v>802</v>
      </c>
      <c r="B88" s="332" t="s">
        <v>871</v>
      </c>
      <c r="C88" s="332"/>
      <c r="D88" s="332"/>
      <c r="E88" s="332"/>
      <c r="F88" s="333"/>
    </row>
    <row r="89" spans="1:6" hidden="1">
      <c r="A89" s="354" t="s">
        <v>872</v>
      </c>
      <c r="B89" s="1684" t="s">
        <v>873</v>
      </c>
      <c r="C89" s="1684"/>
      <c r="D89" s="1684"/>
      <c r="E89" s="1684"/>
      <c r="F89" s="1684"/>
    </row>
    <row r="90" spans="1:6" hidden="1">
      <c r="A90" s="328" t="s">
        <v>798</v>
      </c>
      <c r="B90" s="1687" t="s">
        <v>830</v>
      </c>
      <c r="C90" s="1687"/>
      <c r="D90" s="1687"/>
      <c r="E90" s="1687"/>
      <c r="F90" s="1687"/>
    </row>
    <row r="91" spans="1:6" hidden="1">
      <c r="A91" s="328" t="s">
        <v>805</v>
      </c>
      <c r="B91" s="334" t="s">
        <v>874</v>
      </c>
      <c r="C91" s="334"/>
      <c r="D91" s="334"/>
      <c r="E91" s="334"/>
      <c r="F91" s="332" t="s">
        <v>802</v>
      </c>
    </row>
    <row r="92" spans="1:6" hidden="1">
      <c r="A92" s="331" t="s">
        <v>802</v>
      </c>
      <c r="B92" s="329" t="s">
        <v>875</v>
      </c>
      <c r="C92" s="329"/>
      <c r="D92" s="329"/>
      <c r="E92" s="329"/>
      <c r="F92" s="330"/>
    </row>
    <row r="93" spans="1:6" hidden="1">
      <c r="A93" s="234" t="s">
        <v>802</v>
      </c>
      <c r="B93" s="332" t="s">
        <v>876</v>
      </c>
      <c r="C93" s="332"/>
      <c r="D93" s="332"/>
      <c r="E93" s="332"/>
      <c r="F93" s="234"/>
    </row>
    <row r="94" spans="1:6" hidden="1">
      <c r="A94" s="328" t="s">
        <v>807</v>
      </c>
      <c r="B94" s="334" t="s">
        <v>877</v>
      </c>
      <c r="C94" s="334"/>
      <c r="D94" s="334"/>
      <c r="E94" s="334"/>
      <c r="F94" s="332"/>
    </row>
    <row r="95" spans="1:6" hidden="1">
      <c r="A95" s="331" t="s">
        <v>802</v>
      </c>
      <c r="B95" s="329" t="s">
        <v>875</v>
      </c>
      <c r="C95" s="329"/>
      <c r="D95" s="329"/>
      <c r="E95" s="329"/>
      <c r="F95" s="330"/>
    </row>
    <row r="96" spans="1:6" hidden="1">
      <c r="A96" s="234" t="s">
        <v>802</v>
      </c>
      <c r="B96" s="332" t="s">
        <v>878</v>
      </c>
      <c r="C96" s="332"/>
      <c r="D96" s="332"/>
      <c r="E96" s="332"/>
      <c r="F96" s="333"/>
    </row>
    <row r="97" spans="1:6" hidden="1">
      <c r="A97" s="234" t="s">
        <v>802</v>
      </c>
      <c r="B97" s="332" t="s">
        <v>880</v>
      </c>
      <c r="C97" s="332"/>
      <c r="D97" s="332"/>
      <c r="E97" s="332"/>
      <c r="F97" s="333"/>
    </row>
    <row r="98" spans="1:6" hidden="1">
      <c r="A98" s="234"/>
      <c r="B98" s="332" t="s">
        <v>881</v>
      </c>
      <c r="C98" s="332"/>
      <c r="D98" s="332"/>
      <c r="E98" s="332"/>
      <c r="F98" s="333"/>
    </row>
    <row r="99" spans="1:6" hidden="1">
      <c r="A99" s="234" t="s">
        <v>882</v>
      </c>
      <c r="B99" s="334" t="s">
        <v>883</v>
      </c>
      <c r="C99" s="334"/>
      <c r="D99" s="334"/>
      <c r="E99" s="334"/>
      <c r="F99" s="333"/>
    </row>
    <row r="100" spans="1:6" hidden="1">
      <c r="A100" s="234"/>
      <c r="B100" s="332" t="s">
        <v>884</v>
      </c>
      <c r="C100" s="332"/>
      <c r="D100" s="332"/>
      <c r="E100" s="332"/>
      <c r="F100" s="333"/>
    </row>
    <row r="101" spans="1:6" hidden="1">
      <c r="A101" s="234"/>
      <c r="B101" s="332" t="s">
        <v>820</v>
      </c>
      <c r="C101" s="332"/>
      <c r="D101" s="332"/>
      <c r="E101" s="332"/>
      <c r="F101" s="333"/>
    </row>
    <row r="102" spans="1:6" hidden="1">
      <c r="A102" s="234"/>
      <c r="B102" s="337" t="s">
        <v>879</v>
      </c>
      <c r="C102" s="337"/>
      <c r="D102" s="337"/>
      <c r="E102" s="337"/>
      <c r="F102" s="333"/>
    </row>
    <row r="103" spans="1:6" hidden="1">
      <c r="A103" s="234"/>
      <c r="B103" s="332" t="s">
        <v>881</v>
      </c>
      <c r="C103" s="373"/>
      <c r="D103" s="373"/>
      <c r="E103" s="373"/>
      <c r="F103" s="338"/>
    </row>
    <row r="104" spans="1:6" hidden="1">
      <c r="A104" s="328" t="s">
        <v>818</v>
      </c>
      <c r="B104" s="1691" t="s">
        <v>885</v>
      </c>
      <c r="C104" s="1692"/>
      <c r="D104" s="1692"/>
      <c r="E104" s="1692"/>
      <c r="F104" s="1693"/>
    </row>
    <row r="105" spans="1:6" hidden="1">
      <c r="A105" s="331" t="s">
        <v>802</v>
      </c>
      <c r="B105" s="329" t="s">
        <v>884</v>
      </c>
      <c r="C105" s="329"/>
      <c r="D105" s="329"/>
      <c r="E105" s="329"/>
      <c r="F105" s="330"/>
    </row>
    <row r="106" spans="1:6" hidden="1">
      <c r="A106" s="234" t="s">
        <v>802</v>
      </c>
      <c r="B106" s="332" t="s">
        <v>878</v>
      </c>
      <c r="C106" s="332"/>
      <c r="D106" s="332"/>
      <c r="E106" s="332"/>
      <c r="F106" s="333"/>
    </row>
    <row r="107" spans="1:6" hidden="1">
      <c r="A107" s="234" t="s">
        <v>802</v>
      </c>
      <c r="B107" s="332" t="s">
        <v>879</v>
      </c>
      <c r="C107" s="332"/>
      <c r="D107" s="332"/>
      <c r="E107" s="332"/>
      <c r="F107" s="333"/>
    </row>
    <row r="108" spans="1:6" hidden="1">
      <c r="A108" s="234"/>
      <c r="B108" s="332" t="s">
        <v>881</v>
      </c>
      <c r="C108" s="332"/>
      <c r="D108" s="332"/>
      <c r="E108" s="332"/>
      <c r="F108" s="333"/>
    </row>
    <row r="109" spans="1:6" hidden="1">
      <c r="A109" s="234" t="s">
        <v>802</v>
      </c>
      <c r="B109" s="332" t="s">
        <v>886</v>
      </c>
      <c r="C109" s="332"/>
      <c r="D109" s="332"/>
      <c r="E109" s="332"/>
      <c r="F109" s="333"/>
    </row>
    <row r="110" spans="1:6" hidden="1">
      <c r="A110" s="357" t="s">
        <v>887</v>
      </c>
      <c r="B110" s="1684" t="s">
        <v>888</v>
      </c>
      <c r="C110" s="1684"/>
      <c r="D110" s="1684"/>
      <c r="E110" s="1684"/>
      <c r="F110" s="1684"/>
    </row>
    <row r="111" spans="1:6" hidden="1">
      <c r="A111" s="328" t="s">
        <v>798</v>
      </c>
      <c r="B111" s="1687" t="s">
        <v>889</v>
      </c>
      <c r="C111" s="1687"/>
      <c r="D111" s="1687"/>
      <c r="E111" s="1687"/>
      <c r="F111" s="1687"/>
    </row>
    <row r="112" spans="1:6" hidden="1">
      <c r="A112" s="331" t="s">
        <v>802</v>
      </c>
      <c r="B112" s="329" t="s">
        <v>890</v>
      </c>
      <c r="C112" s="329"/>
      <c r="D112" s="329"/>
      <c r="E112" s="329"/>
      <c r="F112" s="331"/>
    </row>
    <row r="113" spans="1:6" hidden="1">
      <c r="A113" s="331"/>
      <c r="B113" s="329"/>
      <c r="C113" s="329"/>
      <c r="D113" s="329"/>
      <c r="E113" s="329"/>
      <c r="F113" s="331"/>
    </row>
    <row r="114" spans="1:6" hidden="1">
      <c r="A114" s="331"/>
      <c r="B114" s="329"/>
      <c r="C114" s="329"/>
      <c r="D114" s="329"/>
      <c r="E114" s="329"/>
      <c r="F114" s="331"/>
    </row>
    <row r="115" spans="1:6" hidden="1">
      <c r="A115" s="234" t="s">
        <v>802</v>
      </c>
      <c r="B115" s="332" t="s">
        <v>891</v>
      </c>
      <c r="C115" s="332"/>
      <c r="D115" s="332"/>
      <c r="E115" s="332"/>
      <c r="F115" s="333"/>
    </row>
    <row r="116" spans="1:6" hidden="1">
      <c r="A116" s="234"/>
      <c r="B116" s="332" t="s">
        <v>892</v>
      </c>
      <c r="C116" s="332"/>
      <c r="D116" s="332"/>
      <c r="E116" s="332"/>
      <c r="F116" s="333"/>
    </row>
    <row r="117" spans="1:6" hidden="1">
      <c r="A117" s="234"/>
      <c r="B117" s="332" t="s">
        <v>893</v>
      </c>
      <c r="C117" s="332"/>
      <c r="D117" s="332"/>
      <c r="E117" s="332"/>
      <c r="F117" s="333"/>
    </row>
    <row r="118" spans="1:6" hidden="1">
      <c r="A118" s="234" t="s">
        <v>802</v>
      </c>
      <c r="B118" s="332" t="s">
        <v>894</v>
      </c>
      <c r="C118" s="332"/>
      <c r="D118" s="332"/>
      <c r="E118" s="332"/>
      <c r="F118" s="234"/>
    </row>
    <row r="119" spans="1:6" hidden="1">
      <c r="A119" s="328" t="s">
        <v>818</v>
      </c>
      <c r="B119" s="1687" t="s">
        <v>895</v>
      </c>
      <c r="C119" s="1687"/>
      <c r="D119" s="1687"/>
      <c r="E119" s="1687"/>
      <c r="F119" s="1687"/>
    </row>
    <row r="120" spans="1:6" ht="26.55" hidden="1" customHeight="1">
      <c r="A120" s="234" t="s">
        <v>802</v>
      </c>
      <c r="B120" s="332" t="s">
        <v>896</v>
      </c>
      <c r="C120" s="332"/>
      <c r="D120" s="332"/>
      <c r="E120" s="332"/>
      <c r="F120" s="1699"/>
    </row>
    <row r="121" spans="1:6" ht="26.55" hidden="1" customHeight="1">
      <c r="A121" s="234" t="s">
        <v>802</v>
      </c>
      <c r="B121" s="332" t="s">
        <v>897</v>
      </c>
      <c r="C121" s="332"/>
      <c r="D121" s="332"/>
      <c r="E121" s="332"/>
      <c r="F121" s="1699"/>
    </row>
    <row r="122" spans="1:6" ht="17.55" hidden="1" customHeight="1">
      <c r="A122" s="234"/>
      <c r="B122" s="334" t="s">
        <v>898</v>
      </c>
      <c r="C122" s="334"/>
      <c r="D122" s="334"/>
      <c r="E122" s="334"/>
      <c r="F122" s="328"/>
    </row>
    <row r="123" spans="1:6" hidden="1">
      <c r="A123" s="234"/>
      <c r="B123" s="334" t="s">
        <v>899</v>
      </c>
      <c r="C123" s="334"/>
      <c r="D123" s="334"/>
      <c r="E123" s="334"/>
      <c r="F123" s="334"/>
    </row>
    <row r="124" spans="1:6" hidden="1">
      <c r="A124" s="234"/>
      <c r="B124" s="332" t="s">
        <v>900</v>
      </c>
      <c r="C124" s="332"/>
      <c r="D124" s="332"/>
      <c r="E124" s="332"/>
      <c r="F124" s="234"/>
    </row>
    <row r="125" spans="1:6" hidden="1">
      <c r="A125" s="234"/>
      <c r="B125" s="332" t="s">
        <v>901</v>
      </c>
      <c r="C125" s="332"/>
      <c r="D125" s="332"/>
      <c r="E125" s="332"/>
      <c r="F125" s="339"/>
    </row>
    <row r="126" spans="1:6" hidden="1">
      <c r="A126" s="234"/>
      <c r="B126" s="332" t="s">
        <v>902</v>
      </c>
      <c r="C126" s="332"/>
      <c r="D126" s="332"/>
      <c r="E126" s="332"/>
      <c r="F126" s="234"/>
    </row>
    <row r="127" spans="1:6" hidden="1">
      <c r="A127" s="234"/>
      <c r="B127" s="332" t="s">
        <v>903</v>
      </c>
      <c r="C127" s="332"/>
      <c r="D127" s="332"/>
      <c r="E127" s="332"/>
      <c r="F127" s="339"/>
    </row>
    <row r="128" spans="1:6" hidden="1">
      <c r="A128" s="234"/>
      <c r="B128" s="334" t="s">
        <v>904</v>
      </c>
      <c r="C128" s="334"/>
      <c r="D128" s="334"/>
      <c r="E128" s="334"/>
      <c r="F128" s="334"/>
    </row>
    <row r="129" spans="1:9" hidden="1">
      <c r="A129" s="234"/>
      <c r="B129" s="332" t="s">
        <v>900</v>
      </c>
      <c r="C129" s="332"/>
      <c r="D129" s="332"/>
      <c r="E129" s="332"/>
      <c r="F129" s="339"/>
    </row>
    <row r="130" spans="1:9" hidden="1">
      <c r="A130" s="234"/>
      <c r="B130" s="332" t="s">
        <v>901</v>
      </c>
      <c r="C130" s="332"/>
      <c r="D130" s="332"/>
      <c r="E130" s="332"/>
      <c r="F130" s="339"/>
    </row>
    <row r="131" spans="1:9" hidden="1">
      <c r="A131" s="234"/>
      <c r="B131" s="332" t="s">
        <v>902</v>
      </c>
      <c r="C131" s="332"/>
      <c r="D131" s="332"/>
      <c r="E131" s="332"/>
      <c r="F131" s="234"/>
    </row>
    <row r="132" spans="1:9" hidden="1">
      <c r="A132" s="234"/>
      <c r="B132" s="332" t="s">
        <v>903</v>
      </c>
      <c r="C132" s="332"/>
      <c r="D132" s="332"/>
      <c r="E132" s="332"/>
      <c r="F132" s="234"/>
    </row>
    <row r="133" spans="1:9" hidden="1">
      <c r="A133" s="357" t="s">
        <v>905</v>
      </c>
      <c r="B133" s="1684" t="s">
        <v>906</v>
      </c>
      <c r="C133" s="1684"/>
      <c r="D133" s="1684"/>
      <c r="E133" s="1684"/>
      <c r="F133" s="1684"/>
    </row>
    <row r="134" spans="1:9" hidden="1">
      <c r="A134" s="328" t="s">
        <v>798</v>
      </c>
      <c r="B134" s="1687" t="s">
        <v>907</v>
      </c>
      <c r="C134" s="1687"/>
      <c r="D134" s="1687"/>
      <c r="E134" s="1687"/>
      <c r="F134" s="1687"/>
    </row>
    <row r="135" spans="1:9" hidden="1">
      <c r="A135" s="331" t="s">
        <v>802</v>
      </c>
      <c r="B135" s="329" t="s">
        <v>908</v>
      </c>
      <c r="C135" s="329"/>
      <c r="D135" s="329"/>
      <c r="E135" s="329"/>
      <c r="F135" s="330"/>
    </row>
    <row r="136" spans="1:9" hidden="1">
      <c r="A136" s="234" t="s">
        <v>802</v>
      </c>
      <c r="B136" s="332" t="s">
        <v>909</v>
      </c>
      <c r="C136" s="332"/>
      <c r="D136" s="332"/>
      <c r="E136" s="332"/>
      <c r="F136" s="333"/>
    </row>
    <row r="137" spans="1:9" hidden="1">
      <c r="A137" s="328" t="s">
        <v>818</v>
      </c>
      <c r="B137" s="1687" t="s">
        <v>895</v>
      </c>
      <c r="C137" s="1687"/>
      <c r="D137" s="1687"/>
      <c r="E137" s="1687"/>
      <c r="F137" s="1687"/>
    </row>
    <row r="138" spans="1:9" ht="21.6" hidden="1" customHeight="1">
      <c r="A138" s="234" t="s">
        <v>802</v>
      </c>
      <c r="B138" s="332" t="s">
        <v>896</v>
      </c>
      <c r="C138" s="332"/>
      <c r="D138" s="332"/>
      <c r="E138" s="332"/>
      <c r="F138" s="1699"/>
      <c r="G138" s="340"/>
      <c r="I138" s="340"/>
    </row>
    <row r="139" spans="1:9" ht="21.6" hidden="1" customHeight="1">
      <c r="A139" s="234" t="s">
        <v>802</v>
      </c>
      <c r="B139" s="332" t="s">
        <v>897</v>
      </c>
      <c r="C139" s="332"/>
      <c r="D139" s="332"/>
      <c r="E139" s="332"/>
      <c r="F139" s="1699"/>
      <c r="G139" s="340"/>
      <c r="I139" s="340"/>
    </row>
    <row r="140" spans="1:9" hidden="1">
      <c r="A140" s="357" t="s">
        <v>910</v>
      </c>
      <c r="B140" s="1684" t="s">
        <v>911</v>
      </c>
      <c r="C140" s="1684"/>
      <c r="D140" s="1684"/>
      <c r="E140" s="1684"/>
      <c r="F140" s="1684"/>
    </row>
    <row r="141" spans="1:9" hidden="1">
      <c r="A141" s="328" t="s">
        <v>805</v>
      </c>
      <c r="B141" s="1687" t="s">
        <v>833</v>
      </c>
      <c r="C141" s="1687"/>
      <c r="D141" s="1687"/>
      <c r="E141" s="1687"/>
      <c r="F141" s="1687"/>
    </row>
    <row r="142" spans="1:9" hidden="1">
      <c r="A142" s="331" t="s">
        <v>802</v>
      </c>
      <c r="B142" s="329" t="s">
        <v>912</v>
      </c>
      <c r="C142" s="329"/>
      <c r="D142" s="329"/>
      <c r="E142" s="329"/>
      <c r="F142" s="330"/>
    </row>
    <row r="143" spans="1:9" hidden="1">
      <c r="A143" s="234" t="s">
        <v>802</v>
      </c>
      <c r="B143" s="332" t="s">
        <v>909</v>
      </c>
      <c r="C143" s="332"/>
      <c r="D143" s="332"/>
      <c r="E143" s="332"/>
      <c r="F143" s="333"/>
    </row>
    <row r="144" spans="1:9" hidden="1">
      <c r="A144" s="328" t="s">
        <v>807</v>
      </c>
      <c r="B144" s="1687" t="s">
        <v>831</v>
      </c>
      <c r="C144" s="1687"/>
      <c r="D144" s="1687"/>
      <c r="E144" s="1687"/>
      <c r="F144" s="1687"/>
    </row>
    <row r="145" spans="1:6" hidden="1">
      <c r="A145" s="331" t="s">
        <v>802</v>
      </c>
      <c r="B145" s="329" t="s">
        <v>912</v>
      </c>
      <c r="C145" s="329"/>
      <c r="D145" s="329"/>
      <c r="E145" s="329"/>
      <c r="F145" s="330"/>
    </row>
    <row r="146" spans="1:6">
      <c r="A146" s="357" t="s">
        <v>913</v>
      </c>
      <c r="B146" s="1684" t="s">
        <v>914</v>
      </c>
      <c r="C146" s="1684"/>
      <c r="D146" s="1684"/>
      <c r="E146" s="1684"/>
      <c r="F146" s="1684"/>
    </row>
    <row r="147" spans="1:6">
      <c r="A147" s="328" t="s">
        <v>798</v>
      </c>
      <c r="B147" s="1687" t="s">
        <v>831</v>
      </c>
      <c r="C147" s="1687"/>
      <c r="D147" s="1687"/>
      <c r="E147" s="1687"/>
      <c r="F147" s="1687"/>
    </row>
    <row r="148" spans="1:6" ht="44.55" customHeight="1">
      <c r="A148" s="329"/>
      <c r="B148" s="329" t="s">
        <v>915</v>
      </c>
      <c r="C148" s="329"/>
      <c r="D148" s="329"/>
      <c r="E148" s="329"/>
      <c r="F148" s="330"/>
    </row>
    <row r="149" spans="1:6" ht="27.6" customHeight="1">
      <c r="A149" s="329"/>
      <c r="B149" s="329" t="s">
        <v>916</v>
      </c>
      <c r="C149" s="329"/>
      <c r="D149" s="329"/>
      <c r="E149" s="329"/>
      <c r="F149" s="330"/>
    </row>
    <row r="150" spans="1:6" ht="44.55" customHeight="1">
      <c r="A150" s="329"/>
      <c r="B150" s="329" t="s">
        <v>917</v>
      </c>
      <c r="C150" s="329"/>
      <c r="D150" s="329"/>
      <c r="E150" s="329"/>
      <c r="F150" s="330"/>
    </row>
    <row r="151" spans="1:6">
      <c r="A151" s="328" t="s">
        <v>818</v>
      </c>
      <c r="B151" s="1687" t="s">
        <v>833</v>
      </c>
      <c r="C151" s="1687"/>
      <c r="D151" s="1687"/>
      <c r="E151" s="1687"/>
      <c r="F151" s="1687"/>
    </row>
    <row r="152" spans="1:6">
      <c r="A152" s="334"/>
      <c r="B152" s="332" t="s">
        <v>908</v>
      </c>
      <c r="C152" s="332"/>
      <c r="D152" s="332"/>
      <c r="E152" s="332"/>
      <c r="F152" s="332"/>
    </row>
    <row r="153" spans="1:6">
      <c r="A153" s="334"/>
      <c r="B153" s="332" t="s">
        <v>918</v>
      </c>
      <c r="C153" s="332"/>
      <c r="D153" s="332"/>
      <c r="E153" s="332"/>
      <c r="F153" s="330"/>
    </row>
    <row r="154" spans="1:6">
      <c r="A154" s="334"/>
      <c r="B154" s="332" t="s">
        <v>919</v>
      </c>
      <c r="C154" s="332">
        <v>270</v>
      </c>
      <c r="D154" s="332">
        <v>270</v>
      </c>
      <c r="E154" s="785">
        <f>+(C154-D154)/C154</f>
        <v>0</v>
      </c>
      <c r="F154" s="330"/>
    </row>
    <row r="155" spans="1:6">
      <c r="A155" s="332"/>
      <c r="B155" s="332" t="s">
        <v>909</v>
      </c>
      <c r="C155" s="332"/>
      <c r="D155" s="332"/>
      <c r="E155" s="332"/>
      <c r="F155" s="341"/>
    </row>
    <row r="156" spans="1:6" ht="16.25" customHeight="1">
      <c r="A156" s="332"/>
      <c r="B156" s="332" t="s">
        <v>918</v>
      </c>
      <c r="C156" s="332"/>
      <c r="D156" s="332"/>
      <c r="E156" s="332"/>
      <c r="F156" s="342"/>
    </row>
    <row r="157" spans="1:6">
      <c r="A157" s="332"/>
      <c r="B157" s="332" t="s">
        <v>919</v>
      </c>
      <c r="C157" s="588">
        <v>8.1</v>
      </c>
      <c r="D157" s="588">
        <v>8.1</v>
      </c>
      <c r="E157" s="785">
        <f>+(C157-D157)/C157</f>
        <v>0</v>
      </c>
      <c r="F157" s="342"/>
    </row>
    <row r="158" spans="1:6" ht="35.549999999999997" customHeight="1">
      <c r="A158" s="332"/>
      <c r="B158" s="1688" t="s">
        <v>920</v>
      </c>
      <c r="C158" s="1689"/>
      <c r="D158" s="1689"/>
      <c r="E158" s="1689"/>
      <c r="F158" s="1690"/>
    </row>
    <row r="159" spans="1:6">
      <c r="A159" s="332"/>
      <c r="B159" s="332" t="s">
        <v>921</v>
      </c>
      <c r="C159" s="332"/>
      <c r="D159" s="332"/>
      <c r="E159" s="332"/>
      <c r="F159" s="333"/>
    </row>
    <row r="160" spans="1:6" hidden="1">
      <c r="A160" s="357" t="s">
        <v>922</v>
      </c>
      <c r="B160" s="1684" t="s">
        <v>923</v>
      </c>
      <c r="C160" s="1684"/>
      <c r="D160" s="1684"/>
      <c r="E160" s="1684"/>
      <c r="F160" s="1684"/>
    </row>
    <row r="161" spans="1:6" ht="50" hidden="1" customHeight="1">
      <c r="A161" s="332"/>
      <c r="B161" s="332" t="s">
        <v>924</v>
      </c>
      <c r="C161" s="332"/>
      <c r="D161" s="332"/>
      <c r="E161" s="332"/>
      <c r="F161" s="332"/>
    </row>
    <row r="162" spans="1:6" hidden="1">
      <c r="A162" s="357" t="s">
        <v>925</v>
      </c>
      <c r="B162" s="1684" t="s">
        <v>926</v>
      </c>
      <c r="C162" s="1684"/>
      <c r="D162" s="1684"/>
      <c r="E162" s="1684"/>
      <c r="F162" s="1684"/>
    </row>
    <row r="163" spans="1:6" hidden="1">
      <c r="A163" s="336"/>
      <c r="B163" s="1691" t="s">
        <v>927</v>
      </c>
      <c r="C163" s="1692"/>
      <c r="D163" s="1692"/>
      <c r="E163" s="1692"/>
      <c r="F163" s="1693"/>
    </row>
    <row r="164" spans="1:6" hidden="1">
      <c r="A164" s="328" t="s">
        <v>798</v>
      </c>
      <c r="B164" s="334" t="s">
        <v>928</v>
      </c>
      <c r="C164" s="334"/>
      <c r="D164" s="334"/>
      <c r="E164" s="334"/>
      <c r="F164" s="332" t="s">
        <v>802</v>
      </c>
    </row>
    <row r="165" spans="1:6" hidden="1">
      <c r="A165" s="332"/>
      <c r="B165" s="332" t="s">
        <v>929</v>
      </c>
      <c r="C165" s="332"/>
      <c r="D165" s="332"/>
      <c r="E165" s="332"/>
      <c r="F165" s="234"/>
    </row>
    <row r="166" spans="1:6" hidden="1">
      <c r="A166" s="332"/>
      <c r="B166" s="332" t="s">
        <v>930</v>
      </c>
      <c r="C166" s="332"/>
      <c r="D166" s="332"/>
      <c r="E166" s="332"/>
      <c r="F166" s="234"/>
    </row>
    <row r="167" spans="1:6" hidden="1">
      <c r="A167" s="328" t="s">
        <v>818</v>
      </c>
      <c r="B167" s="334" t="s">
        <v>824</v>
      </c>
      <c r="C167" s="334"/>
      <c r="D167" s="334"/>
      <c r="E167" s="334"/>
      <c r="F167" s="332"/>
    </row>
    <row r="168" spans="1:6" hidden="1">
      <c r="A168" s="328"/>
      <c r="B168" s="332" t="s">
        <v>929</v>
      </c>
      <c r="C168" s="332"/>
      <c r="D168" s="332"/>
      <c r="E168" s="332"/>
      <c r="F168" s="333"/>
    </row>
    <row r="169" spans="1:6" hidden="1">
      <c r="A169" s="328"/>
      <c r="B169" s="332" t="s">
        <v>930</v>
      </c>
      <c r="C169" s="332"/>
      <c r="D169" s="332"/>
      <c r="E169" s="332"/>
      <c r="F169" s="333"/>
    </row>
    <row r="170" spans="1:6" hidden="1">
      <c r="A170" s="328"/>
      <c r="B170" s="1691" t="s">
        <v>931</v>
      </c>
      <c r="C170" s="1692"/>
      <c r="D170" s="1692"/>
      <c r="E170" s="1692"/>
      <c r="F170" s="1693"/>
    </row>
    <row r="171" spans="1:6" hidden="1">
      <c r="A171" s="328" t="s">
        <v>798</v>
      </c>
      <c r="B171" s="334" t="s">
        <v>928</v>
      </c>
      <c r="C171" s="355"/>
      <c r="D171" s="355"/>
      <c r="E171" s="355"/>
      <c r="F171" s="343"/>
    </row>
    <row r="172" spans="1:6" hidden="1">
      <c r="A172" s="344"/>
      <c r="B172" s="332" t="s">
        <v>932</v>
      </c>
      <c r="C172" s="332"/>
      <c r="D172" s="332"/>
      <c r="E172" s="332"/>
      <c r="F172" s="234"/>
    </row>
    <row r="173" spans="1:6" ht="15.75" hidden="1">
      <c r="A173" s="344"/>
      <c r="B173" s="345" t="s">
        <v>933</v>
      </c>
      <c r="C173" s="345"/>
      <c r="D173" s="345"/>
      <c r="E173" s="345"/>
      <c r="F173" s="234"/>
    </row>
    <row r="174" spans="1:6" hidden="1">
      <c r="A174" s="344" t="s">
        <v>818</v>
      </c>
      <c r="B174" s="334" t="s">
        <v>824</v>
      </c>
      <c r="C174" s="355"/>
      <c r="D174" s="355"/>
      <c r="E174" s="355"/>
      <c r="F174" s="343"/>
    </row>
    <row r="175" spans="1:6" hidden="1">
      <c r="A175" s="344"/>
      <c r="B175" s="332" t="s">
        <v>932</v>
      </c>
      <c r="C175" s="373"/>
      <c r="D175" s="373"/>
      <c r="E175" s="373"/>
      <c r="F175" s="338"/>
    </row>
    <row r="176" spans="1:6" ht="15" hidden="1" customHeight="1">
      <c r="A176" s="344"/>
      <c r="B176" s="345" t="s">
        <v>933</v>
      </c>
      <c r="C176" s="374"/>
      <c r="D176" s="374"/>
      <c r="E176" s="374"/>
      <c r="F176" s="338"/>
    </row>
    <row r="177" spans="1:6" hidden="1">
      <c r="A177" s="234"/>
      <c r="B177" s="334" t="s">
        <v>898</v>
      </c>
      <c r="C177" s="334"/>
      <c r="D177" s="334"/>
      <c r="E177" s="334"/>
      <c r="F177" s="328"/>
    </row>
    <row r="178" spans="1:6" hidden="1">
      <c r="A178" s="234"/>
      <c r="B178" s="334" t="s">
        <v>899</v>
      </c>
      <c r="C178" s="334"/>
      <c r="D178" s="334"/>
      <c r="E178" s="334"/>
      <c r="F178" s="334"/>
    </row>
    <row r="179" spans="1:6" hidden="1">
      <c r="A179" s="234"/>
      <c r="B179" s="332" t="s">
        <v>934</v>
      </c>
      <c r="C179" s="332"/>
      <c r="D179" s="332"/>
      <c r="E179" s="332"/>
      <c r="F179" s="234"/>
    </row>
    <row r="180" spans="1:6" hidden="1">
      <c r="A180" s="234"/>
      <c r="B180" s="332" t="s">
        <v>935</v>
      </c>
      <c r="C180" s="332"/>
      <c r="D180" s="332"/>
      <c r="E180" s="332"/>
      <c r="F180" s="339"/>
    </row>
    <row r="181" spans="1:6" hidden="1">
      <c r="A181" s="234"/>
      <c r="B181" s="332" t="s">
        <v>936</v>
      </c>
      <c r="C181" s="332"/>
      <c r="D181" s="332"/>
      <c r="E181" s="332"/>
      <c r="F181" s="234"/>
    </row>
    <row r="182" spans="1:6" hidden="1">
      <c r="A182" s="234"/>
      <c r="B182" s="332" t="s">
        <v>937</v>
      </c>
      <c r="C182" s="332"/>
      <c r="D182" s="332"/>
      <c r="E182" s="332"/>
      <c r="F182" s="339"/>
    </row>
    <row r="183" spans="1:6" hidden="1">
      <c r="A183" s="234"/>
      <c r="B183" s="334" t="s">
        <v>904</v>
      </c>
      <c r="C183" s="334"/>
      <c r="D183" s="334"/>
      <c r="E183" s="334"/>
      <c r="F183" s="334"/>
    </row>
    <row r="184" spans="1:6" hidden="1">
      <c r="A184" s="234"/>
      <c r="B184" s="332" t="s">
        <v>934</v>
      </c>
      <c r="C184" s="332"/>
      <c r="D184" s="332"/>
      <c r="E184" s="332"/>
      <c r="F184" s="339"/>
    </row>
    <row r="185" spans="1:6" hidden="1">
      <c r="A185" s="234"/>
      <c r="B185" s="332" t="s">
        <v>935</v>
      </c>
      <c r="C185" s="332"/>
      <c r="D185" s="332"/>
      <c r="E185" s="332"/>
      <c r="F185" s="339"/>
    </row>
    <row r="186" spans="1:6" hidden="1">
      <c r="A186" s="234"/>
      <c r="B186" s="332" t="s">
        <v>936</v>
      </c>
      <c r="C186" s="332"/>
      <c r="D186" s="332"/>
      <c r="E186" s="332"/>
      <c r="F186" s="234"/>
    </row>
    <row r="187" spans="1:6" ht="15" hidden="1" customHeight="1">
      <c r="A187" s="234"/>
      <c r="B187" s="332" t="s">
        <v>937</v>
      </c>
      <c r="C187" s="332"/>
      <c r="D187" s="332"/>
      <c r="E187" s="332"/>
      <c r="F187" s="234"/>
    </row>
    <row r="188" spans="1:6" ht="15" hidden="1" customHeight="1">
      <c r="A188" s="234"/>
      <c r="B188" s="334" t="s">
        <v>938</v>
      </c>
      <c r="C188" s="334"/>
      <c r="D188" s="334"/>
      <c r="E188" s="334"/>
      <c r="F188" s="234"/>
    </row>
    <row r="189" spans="1:6" ht="85.25" customHeight="1">
      <c r="A189" s="328"/>
      <c r="B189" s="1688" t="s">
        <v>939</v>
      </c>
      <c r="C189" s="1689"/>
      <c r="D189" s="1689"/>
      <c r="E189" s="1689"/>
      <c r="F189" s="1690"/>
    </row>
    <row r="190" spans="1:6">
      <c r="A190" s="357" t="s">
        <v>940</v>
      </c>
      <c r="B190" s="1684" t="s">
        <v>941</v>
      </c>
      <c r="C190" s="1684"/>
      <c r="D190" s="1684"/>
      <c r="E190" s="1684"/>
      <c r="F190" s="1684"/>
    </row>
    <row r="191" spans="1:6" ht="45.6" customHeight="1">
      <c r="A191" s="328" t="s">
        <v>798</v>
      </c>
      <c r="B191" s="1691" t="s">
        <v>942</v>
      </c>
      <c r="C191" s="1692"/>
      <c r="D191" s="1692"/>
      <c r="E191" s="1692"/>
      <c r="F191" s="1693"/>
    </row>
    <row r="192" spans="1:6">
      <c r="A192" s="328"/>
      <c r="B192" s="334" t="s">
        <v>928</v>
      </c>
      <c r="C192" s="334"/>
      <c r="D192" s="334"/>
      <c r="E192" s="334"/>
      <c r="F192" s="332" t="s">
        <v>802</v>
      </c>
    </row>
    <row r="193" spans="1:6">
      <c r="A193" s="331" t="s">
        <v>802</v>
      </c>
      <c r="B193" s="329" t="s">
        <v>943</v>
      </c>
      <c r="C193" s="329"/>
      <c r="D193" s="329"/>
      <c r="E193" s="329"/>
      <c r="F193" s="330"/>
    </row>
    <row r="194" spans="1:6">
      <c r="A194" s="331"/>
      <c r="B194" s="329"/>
      <c r="C194" s="329"/>
      <c r="D194" s="329"/>
      <c r="E194" s="329"/>
      <c r="F194" s="330"/>
    </row>
    <row r="195" spans="1:6">
      <c r="A195" s="331" t="s">
        <v>802</v>
      </c>
      <c r="B195" s="329" t="s">
        <v>944</v>
      </c>
      <c r="C195" s="329">
        <f>+'ESR3_Curr Tariff'!AH10</f>
        <v>400</v>
      </c>
      <c r="D195" s="329">
        <f>+'ESR4_Prop Tariff'!H10</f>
        <v>400</v>
      </c>
      <c r="E195" s="785">
        <f>+(C195-D195)/C195</f>
        <v>0</v>
      </c>
      <c r="F195" s="330"/>
    </row>
    <row r="196" spans="1:6">
      <c r="A196" s="331"/>
      <c r="B196" s="329"/>
      <c r="C196" s="329"/>
      <c r="D196" s="329"/>
      <c r="E196" s="329"/>
      <c r="F196" s="330"/>
    </row>
    <row r="197" spans="1:6">
      <c r="A197" s="328"/>
      <c r="B197" s="334" t="s">
        <v>824</v>
      </c>
      <c r="C197" s="334"/>
      <c r="D197" s="334"/>
      <c r="E197" s="334"/>
      <c r="F197" s="234"/>
    </row>
    <row r="198" spans="1:6">
      <c r="A198" s="234" t="s">
        <v>802</v>
      </c>
      <c r="B198" s="332" t="s">
        <v>945</v>
      </c>
      <c r="C198" s="332"/>
      <c r="D198" s="332"/>
      <c r="E198" s="332"/>
      <c r="F198" s="333"/>
    </row>
    <row r="199" spans="1:6">
      <c r="A199" s="234" t="s">
        <v>802</v>
      </c>
      <c r="B199" s="332" t="s">
        <v>946</v>
      </c>
      <c r="C199" s="332"/>
      <c r="D199" s="332"/>
      <c r="E199" s="332"/>
      <c r="F199" s="234"/>
    </row>
    <row r="200" spans="1:6">
      <c r="A200" s="234"/>
      <c r="B200" s="332" t="s">
        <v>947</v>
      </c>
      <c r="C200" s="1694">
        <f>+'ESR4_Prop Tariff'!G10</f>
        <v>8.02</v>
      </c>
      <c r="D200" s="1694">
        <f>+'ESR4_Prop Tariff'!G10</f>
        <v>8.02</v>
      </c>
      <c r="E200" s="1697">
        <f>+(C200-D200)/C200</f>
        <v>0</v>
      </c>
      <c r="F200" s="333"/>
    </row>
    <row r="201" spans="1:6">
      <c r="A201" s="234"/>
      <c r="B201" s="332" t="s">
        <v>948</v>
      </c>
      <c r="C201" s="1695"/>
      <c r="D201" s="1696"/>
      <c r="E201" s="1698"/>
      <c r="F201" s="234"/>
    </row>
    <row r="202" spans="1:6" ht="56.55" hidden="1" customHeight="1">
      <c r="A202" s="328" t="s">
        <v>818</v>
      </c>
      <c r="B202" s="1691" t="s">
        <v>949</v>
      </c>
      <c r="C202" s="1692"/>
      <c r="D202" s="1692"/>
      <c r="E202" s="1692"/>
      <c r="F202" s="1693"/>
    </row>
    <row r="203" spans="1:6" hidden="1">
      <c r="A203" s="328"/>
      <c r="B203" s="334" t="s">
        <v>928</v>
      </c>
      <c r="C203" s="334"/>
      <c r="D203" s="334"/>
      <c r="E203" s="334"/>
      <c r="F203" s="332" t="s">
        <v>802</v>
      </c>
    </row>
    <row r="204" spans="1:6" hidden="1">
      <c r="A204" s="331" t="s">
        <v>802</v>
      </c>
      <c r="B204" s="329" t="s">
        <v>943</v>
      </c>
      <c r="C204" s="329"/>
      <c r="D204" s="329"/>
      <c r="E204" s="329"/>
      <c r="F204" s="330"/>
    </row>
    <row r="205" spans="1:6" hidden="1">
      <c r="A205" s="331" t="s">
        <v>802</v>
      </c>
      <c r="B205" s="329"/>
      <c r="C205" s="329"/>
      <c r="D205" s="329"/>
      <c r="E205" s="329"/>
      <c r="F205" s="330"/>
    </row>
    <row r="206" spans="1:6" hidden="1">
      <c r="A206" s="331"/>
      <c r="B206" s="329" t="s">
        <v>944</v>
      </c>
      <c r="C206" s="329"/>
      <c r="D206" s="329"/>
      <c r="E206" s="329"/>
      <c r="F206" s="330"/>
    </row>
    <row r="207" spans="1:6" hidden="1">
      <c r="A207" s="331"/>
      <c r="B207" s="329"/>
      <c r="C207" s="329"/>
      <c r="D207" s="329"/>
      <c r="E207" s="329"/>
      <c r="F207" s="330"/>
    </row>
    <row r="208" spans="1:6" hidden="1">
      <c r="A208" s="328"/>
      <c r="B208" s="334" t="s">
        <v>824</v>
      </c>
      <c r="C208" s="334"/>
      <c r="D208" s="334"/>
      <c r="E208" s="334"/>
      <c r="F208" s="332"/>
    </row>
    <row r="209" spans="1:6" hidden="1">
      <c r="A209" s="234" t="s">
        <v>802</v>
      </c>
      <c r="B209" s="332" t="s">
        <v>950</v>
      </c>
      <c r="C209" s="332"/>
      <c r="D209" s="332"/>
      <c r="E209" s="332"/>
      <c r="F209" s="333"/>
    </row>
    <row r="210" spans="1:6" hidden="1">
      <c r="A210" s="234" t="s">
        <v>802</v>
      </c>
      <c r="B210" s="332" t="s">
        <v>951</v>
      </c>
      <c r="C210" s="332"/>
      <c r="D210" s="332"/>
      <c r="E210" s="332"/>
      <c r="F210" s="333"/>
    </row>
    <row r="211" spans="1:6" hidden="1">
      <c r="A211" s="234"/>
      <c r="B211" s="332" t="s">
        <v>952</v>
      </c>
      <c r="C211" s="332"/>
      <c r="D211" s="332"/>
      <c r="E211" s="332"/>
      <c r="F211" s="333"/>
    </row>
    <row r="212" spans="1:6" hidden="1">
      <c r="A212" s="234"/>
      <c r="B212" s="332" t="s">
        <v>953</v>
      </c>
      <c r="C212" s="332"/>
      <c r="D212" s="332"/>
      <c r="E212" s="332"/>
      <c r="F212" s="333"/>
    </row>
    <row r="213" spans="1:6" ht="29.55" customHeight="1">
      <c r="A213" s="234"/>
      <c r="B213" s="1685" t="s">
        <v>954</v>
      </c>
      <c r="C213" s="1685"/>
      <c r="D213" s="1685"/>
      <c r="E213" s="1685"/>
      <c r="F213" s="1685"/>
    </row>
    <row r="214" spans="1:6">
      <c r="A214" s="357" t="s">
        <v>955</v>
      </c>
      <c r="B214" s="1684" t="s">
        <v>956</v>
      </c>
      <c r="C214" s="1684"/>
      <c r="D214" s="1684"/>
      <c r="E214" s="1684"/>
      <c r="F214" s="1684"/>
    </row>
    <row r="215" spans="1:6">
      <c r="A215" s="328" t="s">
        <v>957</v>
      </c>
      <c r="B215" s="1687" t="s">
        <v>958</v>
      </c>
      <c r="C215" s="1687"/>
      <c r="D215" s="1687"/>
      <c r="E215" s="1687"/>
      <c r="F215" s="1687"/>
    </row>
    <row r="216" spans="1:6">
      <c r="A216" s="334"/>
      <c r="B216" s="1687" t="s">
        <v>959</v>
      </c>
      <c r="C216" s="1687"/>
      <c r="D216" s="1687"/>
      <c r="E216" s="1687"/>
      <c r="F216" s="1687"/>
    </row>
    <row r="217" spans="1:6">
      <c r="A217" s="334"/>
      <c r="B217" s="334" t="s">
        <v>960</v>
      </c>
      <c r="C217" s="334"/>
      <c r="D217" s="334"/>
      <c r="E217" s="334"/>
      <c r="F217" s="341" t="s">
        <v>802</v>
      </c>
    </row>
    <row r="218" spans="1:6">
      <c r="A218" s="329"/>
      <c r="B218" s="329" t="s">
        <v>961</v>
      </c>
      <c r="C218" s="329">
        <f>+'ESR3_Curr Tariff'!AH11</f>
        <v>300</v>
      </c>
      <c r="D218" s="329">
        <f>+'ESR4_Prop Tariff'!H11</f>
        <v>300</v>
      </c>
      <c r="E218" s="785">
        <f t="shared" ref="E218:E219" si="0">+(C218-D218)/C218</f>
        <v>0</v>
      </c>
      <c r="F218" s="330"/>
    </row>
    <row r="219" spans="1:6">
      <c r="A219" s="332"/>
      <c r="B219" s="332" t="s">
        <v>962</v>
      </c>
      <c r="C219" s="588">
        <f>+'ESR3_Curr Tariff'!AG11</f>
        <v>7</v>
      </c>
      <c r="D219" s="786">
        <f>+'ESR4_Prop Tariff'!G11</f>
        <v>7</v>
      </c>
      <c r="E219" s="785">
        <f t="shared" si="0"/>
        <v>0</v>
      </c>
      <c r="F219" s="333"/>
    </row>
    <row r="220" spans="1:6">
      <c r="A220" s="332"/>
      <c r="B220" s="332" t="s">
        <v>963</v>
      </c>
      <c r="C220" s="332"/>
      <c r="D220" s="332"/>
      <c r="E220" s="332"/>
      <c r="F220" s="234"/>
    </row>
    <row r="221" spans="1:6" hidden="1">
      <c r="A221" s="334"/>
      <c r="B221" s="1687" t="s">
        <v>964</v>
      </c>
      <c r="C221" s="1687"/>
      <c r="D221" s="1687"/>
      <c r="E221" s="1687"/>
      <c r="F221" s="1687"/>
    </row>
    <row r="222" spans="1:6" hidden="1">
      <c r="A222" s="334"/>
      <c r="B222" s="334" t="s">
        <v>960</v>
      </c>
      <c r="C222" s="334"/>
      <c r="D222" s="334"/>
      <c r="E222" s="334"/>
      <c r="F222" s="341" t="s">
        <v>802</v>
      </c>
    </row>
    <row r="223" spans="1:6" hidden="1">
      <c r="A223" s="329"/>
      <c r="B223" s="329" t="s">
        <v>961</v>
      </c>
      <c r="C223" s="329"/>
      <c r="D223" s="329"/>
      <c r="E223" s="329"/>
      <c r="F223" s="330"/>
    </row>
    <row r="224" spans="1:6" hidden="1">
      <c r="A224" s="332"/>
      <c r="B224" s="332" t="s">
        <v>962</v>
      </c>
      <c r="C224" s="332"/>
      <c r="D224" s="332"/>
      <c r="E224" s="332"/>
      <c r="F224" s="333"/>
    </row>
    <row r="225" spans="1:6" hidden="1">
      <c r="A225" s="332"/>
      <c r="B225" s="332" t="s">
        <v>963</v>
      </c>
      <c r="C225" s="332"/>
      <c r="D225" s="332"/>
      <c r="E225" s="332"/>
      <c r="F225" s="234"/>
    </row>
    <row r="226" spans="1:6" hidden="1">
      <c r="A226" s="334"/>
      <c r="B226" s="1687" t="s">
        <v>965</v>
      </c>
      <c r="C226" s="1687"/>
      <c r="D226" s="1687"/>
      <c r="E226" s="1687"/>
      <c r="F226" s="1687"/>
    </row>
    <row r="227" spans="1:6" hidden="1">
      <c r="A227" s="334"/>
      <c r="B227" s="334" t="s">
        <v>960</v>
      </c>
      <c r="C227" s="334"/>
      <c r="D227" s="334"/>
      <c r="E227" s="334"/>
      <c r="F227" s="341" t="s">
        <v>802</v>
      </c>
    </row>
    <row r="228" spans="1:6" hidden="1">
      <c r="A228" s="329"/>
      <c r="B228" s="329" t="s">
        <v>966</v>
      </c>
      <c r="C228" s="329"/>
      <c r="D228" s="329"/>
      <c r="E228" s="329"/>
      <c r="F228" s="330"/>
    </row>
    <row r="229" spans="1:6" hidden="1">
      <c r="A229" s="332"/>
      <c r="B229" s="332" t="s">
        <v>962</v>
      </c>
      <c r="C229" s="332"/>
      <c r="D229" s="332"/>
      <c r="E229" s="332"/>
      <c r="F229" s="333"/>
    </row>
    <row r="230" spans="1:6" hidden="1">
      <c r="A230" s="332"/>
      <c r="B230" s="332" t="s">
        <v>963</v>
      </c>
      <c r="C230" s="332"/>
      <c r="D230" s="332"/>
      <c r="E230" s="332"/>
      <c r="F230" s="234"/>
    </row>
    <row r="231" spans="1:6" hidden="1">
      <c r="A231" s="334"/>
      <c r="B231" s="1687" t="s">
        <v>967</v>
      </c>
      <c r="C231" s="1687"/>
      <c r="D231" s="1687"/>
      <c r="E231" s="1687"/>
      <c r="F231" s="1687"/>
    </row>
    <row r="232" spans="1:6" hidden="1">
      <c r="A232" s="334"/>
      <c r="B232" s="334" t="s">
        <v>960</v>
      </c>
      <c r="C232" s="334"/>
      <c r="D232" s="334"/>
      <c r="E232" s="334"/>
      <c r="F232" s="341" t="s">
        <v>802</v>
      </c>
    </row>
    <row r="233" spans="1:6" hidden="1">
      <c r="A233" s="329"/>
      <c r="B233" s="329" t="s">
        <v>968</v>
      </c>
      <c r="C233" s="329"/>
      <c r="D233" s="329"/>
      <c r="E233" s="329"/>
      <c r="F233" s="330"/>
    </row>
    <row r="234" spans="1:6" hidden="1">
      <c r="A234" s="332"/>
      <c r="B234" s="332" t="s">
        <v>969</v>
      </c>
      <c r="C234" s="332"/>
      <c r="D234" s="332"/>
      <c r="E234" s="332"/>
      <c r="F234" s="333"/>
    </row>
    <row r="235" spans="1:6" hidden="1">
      <c r="A235" s="332"/>
      <c r="B235" s="332" t="s">
        <v>970</v>
      </c>
      <c r="C235" s="332"/>
      <c r="D235" s="332"/>
      <c r="E235" s="332"/>
      <c r="F235" s="234"/>
    </row>
    <row r="236" spans="1:6" ht="15" customHeight="1">
      <c r="A236" s="332"/>
      <c r="B236" s="334" t="s">
        <v>898</v>
      </c>
      <c r="C236" s="334"/>
      <c r="D236" s="334"/>
      <c r="E236" s="334"/>
      <c r="F236" s="328"/>
    </row>
    <row r="237" spans="1:6">
      <c r="A237" s="234"/>
      <c r="B237" s="334" t="s">
        <v>899</v>
      </c>
      <c r="C237" s="334"/>
      <c r="D237" s="334"/>
      <c r="E237" s="334"/>
      <c r="F237" s="334"/>
    </row>
    <row r="238" spans="1:6">
      <c r="A238" s="234"/>
      <c r="B238" s="332" t="s">
        <v>900</v>
      </c>
      <c r="C238" s="787">
        <v>0.15</v>
      </c>
      <c r="D238" s="787">
        <v>0</v>
      </c>
      <c r="E238" s="785">
        <f>IFERROR(+(C238-D238)/C238,0)</f>
        <v>1</v>
      </c>
      <c r="F238" s="234"/>
    </row>
    <row r="239" spans="1:6">
      <c r="A239" s="234"/>
      <c r="B239" s="332" t="s">
        <v>901</v>
      </c>
      <c r="C239" s="787">
        <v>0</v>
      </c>
      <c r="D239" s="787">
        <v>0</v>
      </c>
      <c r="E239" s="785">
        <f t="shared" ref="E239:E241" si="1">IFERROR(+(C239-D239)/C239,0)</f>
        <v>0</v>
      </c>
      <c r="F239" s="339"/>
    </row>
    <row r="240" spans="1:6">
      <c r="A240" s="234"/>
      <c r="B240" s="332" t="s">
        <v>902</v>
      </c>
      <c r="C240" s="787">
        <v>-0.15</v>
      </c>
      <c r="D240" s="787">
        <v>0</v>
      </c>
      <c r="E240" s="785">
        <f t="shared" si="1"/>
        <v>1</v>
      </c>
      <c r="F240" s="234"/>
    </row>
    <row r="241" spans="1:8">
      <c r="A241" s="234"/>
      <c r="B241" s="332" t="s">
        <v>903</v>
      </c>
      <c r="C241" s="787">
        <v>0</v>
      </c>
      <c r="D241" s="787">
        <v>0</v>
      </c>
      <c r="E241" s="785">
        <f t="shared" si="1"/>
        <v>0</v>
      </c>
      <c r="F241" s="339"/>
    </row>
    <row r="242" spans="1:8">
      <c r="A242" s="234"/>
      <c r="B242" s="334" t="s">
        <v>904</v>
      </c>
      <c r="C242" s="334"/>
      <c r="D242" s="334"/>
      <c r="E242" s="334"/>
      <c r="F242" s="334"/>
    </row>
    <row r="243" spans="1:8">
      <c r="A243" s="234"/>
      <c r="B243" s="332" t="s">
        <v>2066</v>
      </c>
      <c r="C243" s="787">
        <v>-0.15</v>
      </c>
      <c r="D243" s="787">
        <v>0</v>
      </c>
      <c r="E243" s="785">
        <f>IFERROR(+(C243-D243)/C243,0)</f>
        <v>1</v>
      </c>
      <c r="F243" s="339"/>
    </row>
    <row r="244" spans="1:8">
      <c r="A244" s="234"/>
      <c r="B244" s="332" t="s">
        <v>2067</v>
      </c>
      <c r="C244" s="787">
        <v>0</v>
      </c>
      <c r="D244" s="787">
        <v>0</v>
      </c>
      <c r="E244" s="785">
        <f t="shared" ref="E244:E248" si="2">IFERROR(+(C244-D244)/C244,0)</f>
        <v>0</v>
      </c>
      <c r="F244" s="339"/>
    </row>
    <row r="245" spans="1:8">
      <c r="A245" s="234"/>
      <c r="B245" s="332" t="s">
        <v>2068</v>
      </c>
      <c r="C245" s="787">
        <v>0.15</v>
      </c>
      <c r="D245" s="787">
        <v>0</v>
      </c>
      <c r="E245" s="785">
        <f t="shared" si="2"/>
        <v>1</v>
      </c>
      <c r="F245" s="234"/>
    </row>
    <row r="246" spans="1:8">
      <c r="A246" s="234"/>
      <c r="B246" s="332" t="s">
        <v>2069</v>
      </c>
      <c r="C246" s="787">
        <v>0</v>
      </c>
      <c r="D246" s="787">
        <v>0</v>
      </c>
      <c r="E246" s="785">
        <f t="shared" si="2"/>
        <v>0</v>
      </c>
      <c r="F246" s="234"/>
    </row>
    <row r="247" spans="1:8">
      <c r="A247" s="234"/>
      <c r="B247" s="332" t="s">
        <v>2070</v>
      </c>
      <c r="C247" s="788">
        <v>0.15</v>
      </c>
      <c r="D247" s="787">
        <v>0</v>
      </c>
      <c r="E247" s="785">
        <f t="shared" si="2"/>
        <v>1</v>
      </c>
      <c r="F247" s="789"/>
    </row>
    <row r="248" spans="1:8">
      <c r="A248" s="234"/>
      <c r="B248" s="332" t="s">
        <v>2071</v>
      </c>
      <c r="C248" s="788">
        <v>0</v>
      </c>
      <c r="D248" s="788">
        <v>0</v>
      </c>
      <c r="E248" s="785">
        <f t="shared" si="2"/>
        <v>0</v>
      </c>
      <c r="F248" s="789"/>
    </row>
    <row r="249" spans="1:8">
      <c r="A249" s="328" t="s">
        <v>971</v>
      </c>
      <c r="B249" s="355" t="s">
        <v>972</v>
      </c>
      <c r="C249" s="355"/>
      <c r="D249" s="355"/>
      <c r="E249" s="355"/>
      <c r="F249" s="356"/>
    </row>
    <row r="250" spans="1:8" ht="61.25" customHeight="1">
      <c r="A250" s="332"/>
      <c r="B250" s="1688" t="s">
        <v>973</v>
      </c>
      <c r="C250" s="1689"/>
      <c r="D250" s="1689"/>
      <c r="E250" s="1689"/>
      <c r="F250" s="1690"/>
    </row>
    <row r="251" spans="1:8" ht="30" customHeight="1">
      <c r="A251" s="328" t="s">
        <v>974</v>
      </c>
      <c r="B251" s="1691" t="s">
        <v>975</v>
      </c>
      <c r="C251" s="1692"/>
      <c r="D251" s="1692"/>
      <c r="E251" s="1692"/>
      <c r="F251" s="1693"/>
    </row>
    <row r="252" spans="1:8" ht="29.45" customHeight="1">
      <c r="A252" s="328"/>
      <c r="B252" s="1688" t="s">
        <v>976</v>
      </c>
      <c r="C252" s="1689"/>
      <c r="D252" s="1689"/>
      <c r="E252" s="1689"/>
      <c r="F252" s="1690"/>
    </row>
    <row r="253" spans="1:8" hidden="1">
      <c r="A253" s="357" t="s">
        <v>977</v>
      </c>
      <c r="B253" s="1684" t="s">
        <v>978</v>
      </c>
      <c r="C253" s="1684"/>
      <c r="D253" s="1684"/>
      <c r="E253" s="1684"/>
      <c r="F253" s="1684"/>
      <c r="G253" s="346"/>
      <c r="H253" s="346"/>
    </row>
    <row r="254" spans="1:8" hidden="1">
      <c r="A254" s="328" t="s">
        <v>957</v>
      </c>
      <c r="B254" s="336" t="s">
        <v>979</v>
      </c>
      <c r="C254" s="336"/>
      <c r="D254" s="336"/>
      <c r="E254" s="336"/>
      <c r="F254" s="336"/>
      <c r="G254" s="346"/>
      <c r="H254" s="346"/>
    </row>
    <row r="255" spans="1:8" hidden="1">
      <c r="A255" s="328"/>
      <c r="B255" s="334" t="s">
        <v>928</v>
      </c>
      <c r="C255" s="334"/>
      <c r="D255" s="334"/>
      <c r="E255" s="334"/>
      <c r="F255" s="332" t="s">
        <v>802</v>
      </c>
    </row>
    <row r="256" spans="1:8" hidden="1">
      <c r="A256" s="331"/>
      <c r="B256" s="329" t="s">
        <v>980</v>
      </c>
      <c r="C256" s="329"/>
      <c r="D256" s="329"/>
      <c r="E256" s="329"/>
      <c r="F256" s="330"/>
    </row>
    <row r="257" spans="1:6" hidden="1">
      <c r="A257" s="331"/>
      <c r="B257" s="329"/>
      <c r="C257" s="329"/>
      <c r="D257" s="329"/>
      <c r="E257" s="329"/>
      <c r="F257" s="347"/>
    </row>
    <row r="258" spans="1:6" hidden="1">
      <c r="A258" s="328"/>
      <c r="B258" s="334" t="s">
        <v>981</v>
      </c>
      <c r="C258" s="334"/>
      <c r="D258" s="334"/>
      <c r="E258" s="334"/>
      <c r="F258" s="348"/>
    </row>
    <row r="259" spans="1:6" hidden="1">
      <c r="A259" s="234" t="s">
        <v>802</v>
      </c>
      <c r="B259" s="332" t="s">
        <v>982</v>
      </c>
      <c r="C259" s="332"/>
      <c r="D259" s="332"/>
      <c r="E259" s="332"/>
      <c r="F259" s="333"/>
    </row>
    <row r="260" spans="1:6" hidden="1">
      <c r="A260" s="234" t="s">
        <v>802</v>
      </c>
      <c r="B260" s="332" t="s">
        <v>983</v>
      </c>
      <c r="C260" s="332"/>
      <c r="D260" s="332"/>
      <c r="E260" s="332"/>
      <c r="F260" s="333"/>
    </row>
    <row r="261" spans="1:6" hidden="1">
      <c r="A261" s="328"/>
      <c r="B261" s="332" t="s">
        <v>984</v>
      </c>
      <c r="C261" s="332"/>
      <c r="D261" s="332"/>
      <c r="E261" s="332"/>
      <c r="F261" s="333"/>
    </row>
    <row r="262" spans="1:6" hidden="1">
      <c r="A262" s="328" t="s">
        <v>971</v>
      </c>
      <c r="B262" s="1687" t="s">
        <v>985</v>
      </c>
      <c r="C262" s="1687"/>
      <c r="D262" s="1687"/>
      <c r="E262" s="1687"/>
      <c r="F262" s="1687"/>
    </row>
    <row r="263" spans="1:6" hidden="1">
      <c r="A263" s="349"/>
      <c r="B263" s="329" t="s">
        <v>986</v>
      </c>
      <c r="C263" s="329"/>
      <c r="D263" s="329"/>
      <c r="E263" s="329"/>
      <c r="F263" s="330"/>
    </row>
    <row r="264" spans="1:6" hidden="1">
      <c r="A264" s="328"/>
      <c r="B264" s="332" t="s">
        <v>987</v>
      </c>
      <c r="C264" s="332"/>
      <c r="D264" s="332"/>
      <c r="E264" s="332"/>
      <c r="F264" s="333"/>
    </row>
    <row r="265" spans="1:6" hidden="1">
      <c r="A265" s="328"/>
      <c r="B265" s="332" t="s">
        <v>984</v>
      </c>
      <c r="C265" s="332"/>
      <c r="D265" s="332"/>
      <c r="E265" s="332"/>
      <c r="F265" s="333"/>
    </row>
    <row r="266" spans="1:6" hidden="1">
      <c r="A266" s="328"/>
      <c r="B266" s="1685" t="s">
        <v>988</v>
      </c>
      <c r="C266" s="1685"/>
      <c r="D266" s="1685"/>
      <c r="E266" s="1685"/>
      <c r="F266" s="1685"/>
    </row>
    <row r="267" spans="1:6" hidden="1">
      <c r="A267" s="357" t="s">
        <v>989</v>
      </c>
      <c r="B267" s="1684" t="s">
        <v>990</v>
      </c>
      <c r="C267" s="1684"/>
      <c r="D267" s="1684"/>
      <c r="E267" s="1684"/>
      <c r="F267" s="1684"/>
    </row>
    <row r="268" spans="1:6" hidden="1">
      <c r="A268" s="328" t="s">
        <v>798</v>
      </c>
      <c r="B268" s="334" t="s">
        <v>928</v>
      </c>
      <c r="C268" s="334"/>
      <c r="D268" s="334"/>
      <c r="E268" s="334"/>
      <c r="F268" s="332" t="s">
        <v>802</v>
      </c>
    </row>
    <row r="269" spans="1:6" hidden="1">
      <c r="A269" s="331" t="s">
        <v>802</v>
      </c>
      <c r="B269" s="329" t="s">
        <v>991</v>
      </c>
      <c r="C269" s="329"/>
      <c r="D269" s="329"/>
      <c r="E269" s="329"/>
      <c r="F269" s="330"/>
    </row>
    <row r="270" spans="1:6" hidden="1">
      <c r="A270" s="331"/>
      <c r="B270" s="329" t="s">
        <v>992</v>
      </c>
      <c r="C270" s="329"/>
      <c r="D270" s="329"/>
      <c r="E270" s="329"/>
      <c r="F270" s="330"/>
    </row>
    <row r="271" spans="1:6" hidden="1">
      <c r="A271" s="331" t="s">
        <v>802</v>
      </c>
      <c r="B271" s="329" t="s">
        <v>993</v>
      </c>
      <c r="C271" s="329"/>
      <c r="D271" s="329"/>
      <c r="E271" s="329"/>
      <c r="F271" s="330"/>
    </row>
    <row r="272" spans="1:6" hidden="1">
      <c r="A272" s="328" t="s">
        <v>818</v>
      </c>
      <c r="B272" s="334" t="s">
        <v>824</v>
      </c>
      <c r="C272" s="334"/>
      <c r="D272" s="334"/>
      <c r="E272" s="334"/>
      <c r="F272" s="333"/>
    </row>
    <row r="273" spans="1:6" hidden="1">
      <c r="A273" s="234" t="s">
        <v>802</v>
      </c>
      <c r="B273" s="332" t="s">
        <v>994</v>
      </c>
      <c r="C273" s="332"/>
      <c r="D273" s="332"/>
      <c r="E273" s="332"/>
      <c r="F273" s="333"/>
    </row>
    <row r="274" spans="1:6" hidden="1">
      <c r="A274" s="234" t="s">
        <v>802</v>
      </c>
      <c r="B274" s="332" t="s">
        <v>995</v>
      </c>
      <c r="C274" s="332"/>
      <c r="D274" s="332"/>
      <c r="E274" s="332"/>
      <c r="F274" s="333"/>
    </row>
    <row r="275" spans="1:6" hidden="1">
      <c r="A275" s="234"/>
      <c r="B275" s="332" t="s">
        <v>996</v>
      </c>
      <c r="C275" s="332"/>
      <c r="D275" s="332"/>
      <c r="E275" s="332"/>
      <c r="F275" s="333"/>
    </row>
    <row r="276" spans="1:6" hidden="1">
      <c r="A276" s="328" t="s">
        <v>622</v>
      </c>
      <c r="B276" s="334" t="s">
        <v>984</v>
      </c>
      <c r="C276" s="334"/>
      <c r="D276" s="334"/>
      <c r="E276" s="334"/>
      <c r="F276" s="333"/>
    </row>
    <row r="277" spans="1:6">
      <c r="A277" s="350"/>
      <c r="B277" s="350"/>
      <c r="C277" s="350"/>
      <c r="D277" s="350"/>
      <c r="E277" s="350"/>
      <c r="F277" s="350"/>
    </row>
    <row r="278" spans="1:6" ht="14.55" customHeight="1">
      <c r="A278" s="1685" t="s">
        <v>1178</v>
      </c>
      <c r="B278" s="1685"/>
      <c r="C278" s="1685"/>
      <c r="D278" s="1685"/>
      <c r="E278" s="1685"/>
      <c r="F278" s="1685"/>
    </row>
    <row r="279" spans="1:6" ht="20.25" customHeight="1">
      <c r="A279" s="1685"/>
      <c r="B279" s="1685"/>
      <c r="C279" s="1685"/>
      <c r="D279" s="1685"/>
      <c r="E279" s="1685"/>
      <c r="F279" s="1685"/>
    </row>
    <row r="280" spans="1:6" ht="33" customHeight="1">
      <c r="A280" s="1686" t="s">
        <v>1179</v>
      </c>
      <c r="B280" s="1686"/>
      <c r="C280" s="1686"/>
      <c r="D280" s="1686"/>
      <c r="E280" s="1686"/>
      <c r="F280" s="1686"/>
    </row>
  </sheetData>
  <mergeCells count="63">
    <mergeCell ref="B23:F23"/>
    <mergeCell ref="B26:F26"/>
    <mergeCell ref="B27:F27"/>
    <mergeCell ref="B7:F7"/>
    <mergeCell ref="B8:F8"/>
    <mergeCell ref="B9:F9"/>
    <mergeCell ref="B39:F39"/>
    <mergeCell ref="B46:F46"/>
    <mergeCell ref="B51:F51"/>
    <mergeCell ref="B28:F28"/>
    <mergeCell ref="B31:F31"/>
    <mergeCell ref="B38:F38"/>
    <mergeCell ref="B76:F76"/>
    <mergeCell ref="B77:F77"/>
    <mergeCell ref="B84:F84"/>
    <mergeCell ref="B60:F60"/>
    <mergeCell ref="B61:F61"/>
    <mergeCell ref="B65:F65"/>
    <mergeCell ref="B110:F110"/>
    <mergeCell ref="B111:F111"/>
    <mergeCell ref="B119:F119"/>
    <mergeCell ref="B89:F89"/>
    <mergeCell ref="B90:F90"/>
    <mergeCell ref="B104:F104"/>
    <mergeCell ref="B137:F137"/>
    <mergeCell ref="F138:F139"/>
    <mergeCell ref="B140:F140"/>
    <mergeCell ref="F120:F121"/>
    <mergeCell ref="B133:F133"/>
    <mergeCell ref="B134:F134"/>
    <mergeCell ref="B147:F147"/>
    <mergeCell ref="B151:F151"/>
    <mergeCell ref="B158:F158"/>
    <mergeCell ref="B141:F141"/>
    <mergeCell ref="B144:F144"/>
    <mergeCell ref="B146:F146"/>
    <mergeCell ref="B170:F170"/>
    <mergeCell ref="B189:F189"/>
    <mergeCell ref="B190:F190"/>
    <mergeCell ref="B160:F160"/>
    <mergeCell ref="B162:F162"/>
    <mergeCell ref="B163:F163"/>
    <mergeCell ref="B214:F214"/>
    <mergeCell ref="B215:F215"/>
    <mergeCell ref="B216:F216"/>
    <mergeCell ref="B191:F191"/>
    <mergeCell ref="B202:F202"/>
    <mergeCell ref="B213:F213"/>
    <mergeCell ref="C200:C201"/>
    <mergeCell ref="D200:D201"/>
    <mergeCell ref="E200:E201"/>
    <mergeCell ref="B250:F250"/>
    <mergeCell ref="B251:F251"/>
    <mergeCell ref="B252:F252"/>
    <mergeCell ref="B221:F221"/>
    <mergeCell ref="B226:F226"/>
    <mergeCell ref="B231:F231"/>
    <mergeCell ref="B267:F267"/>
    <mergeCell ref="A278:F279"/>
    <mergeCell ref="A280:F280"/>
    <mergeCell ref="B253:F253"/>
    <mergeCell ref="B262:F262"/>
    <mergeCell ref="B266:F266"/>
  </mergeCells>
  <pageMargins left="0.70866141732283472" right="0.70866141732283472" top="0.74803149606299213" bottom="0.74803149606299213" header="0.31496062992125984" footer="0.31496062992125984"/>
  <pageSetup paperSize="9" scale="67" fitToHeight="0"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00FFFF"/>
    <pageSetUpPr fitToPage="1"/>
  </sheetPr>
  <dimension ref="A1:AC178"/>
  <sheetViews>
    <sheetView view="pageBreakPreview" zoomScale="70" zoomScaleNormal="76" zoomScaleSheetLayoutView="70" workbookViewId="0">
      <pane xSplit="1" ySplit="7" topLeftCell="B105" activePane="bottomRight" state="frozen"/>
      <selection activeCell="T96" sqref="T96"/>
      <selection pane="topRight" activeCell="T96" sqref="T96"/>
      <selection pane="bottomLeft" activeCell="T96" sqref="T96"/>
      <selection pane="bottomRight" activeCell="H123" sqref="H123"/>
    </sheetView>
  </sheetViews>
  <sheetFormatPr defaultColWidth="9.19921875" defaultRowHeight="14.25"/>
  <cols>
    <col min="1" max="1" width="50.796875" style="25" customWidth="1"/>
    <col min="2" max="2" width="10.46484375" style="276" customWidth="1"/>
    <col min="3" max="3" width="9.796875" style="276" customWidth="1"/>
    <col min="4" max="4" width="12.796875" style="276" customWidth="1"/>
    <col min="5" max="5" width="10.19921875" style="276" customWidth="1"/>
    <col min="6" max="6" width="11.19921875" customWidth="1"/>
    <col min="7" max="7" width="11.796875" customWidth="1"/>
    <col min="8" max="8" width="10.53125" customWidth="1"/>
    <col min="9" max="9" width="11.53125" customWidth="1"/>
    <col min="10" max="10" width="10.19921875" customWidth="1"/>
    <col min="11" max="11" width="12.796875" customWidth="1"/>
    <col min="12" max="13" width="9.796875" customWidth="1"/>
    <col min="14" max="14" width="10.53125" customWidth="1"/>
    <col min="15" max="15" width="9.19921875" customWidth="1"/>
    <col min="16" max="16" width="10.19921875" customWidth="1"/>
    <col min="17" max="17" width="9.46484375" customWidth="1"/>
    <col min="18" max="18" width="9.19921875" customWidth="1"/>
    <col min="19" max="19" width="10.796875" customWidth="1"/>
    <col min="20" max="20" width="9.796875" customWidth="1"/>
    <col min="21" max="21" width="10.796875" customWidth="1"/>
    <col min="22" max="22" width="10.1328125" customWidth="1"/>
    <col min="23" max="25" width="10.796875" customWidth="1"/>
    <col min="26" max="26" width="9" customWidth="1"/>
    <col min="27" max="27" width="10.796875" customWidth="1"/>
    <col min="28" max="28" width="9" customWidth="1"/>
    <col min="29" max="29" width="10.53125" customWidth="1"/>
  </cols>
  <sheetData>
    <row r="1" spans="1:29">
      <c r="A1" s="219" t="s">
        <v>1176</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row>
    <row r="2" spans="1:29">
      <c r="A2" s="241" t="str">
        <f>+'BS1'!A2</f>
        <v>NIDP DEVELOPERS PRIVATE LIMITED</v>
      </c>
      <c r="B2" s="39"/>
      <c r="C2" s="39"/>
      <c r="D2" s="39"/>
      <c r="E2" s="39"/>
      <c r="F2" s="39"/>
      <c r="G2" s="39"/>
      <c r="H2" s="9"/>
      <c r="I2" s="9"/>
      <c r="J2" s="9"/>
      <c r="K2" s="9"/>
      <c r="L2" s="9"/>
      <c r="M2" s="9"/>
      <c r="N2" s="9"/>
      <c r="O2" s="9"/>
      <c r="P2" s="9"/>
      <c r="Q2" s="9"/>
      <c r="R2" s="9"/>
      <c r="S2" s="9"/>
      <c r="T2" s="9"/>
      <c r="U2" s="9"/>
      <c r="V2" s="9"/>
      <c r="W2" s="9"/>
      <c r="X2" s="9"/>
      <c r="Y2" s="9"/>
      <c r="Z2" s="9"/>
      <c r="AA2" s="9"/>
      <c r="AB2" s="9"/>
      <c r="AC2" s="9"/>
    </row>
    <row r="3" spans="1:29">
      <c r="A3" s="279" t="s">
        <v>1175</v>
      </c>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row>
    <row r="4" spans="1:29" ht="15.75" customHeight="1">
      <c r="A4" s="1709" t="s">
        <v>1160</v>
      </c>
      <c r="B4" s="1709"/>
      <c r="C4" s="1709"/>
      <c r="D4" s="1709"/>
      <c r="E4" s="1709"/>
      <c r="F4" s="1709"/>
      <c r="G4" s="1709"/>
      <c r="H4" s="1709"/>
      <c r="I4" s="1709"/>
      <c r="J4" s="1709"/>
      <c r="K4" s="1709"/>
      <c r="L4" s="1709"/>
      <c r="M4" s="1709"/>
      <c r="N4" s="1709"/>
      <c r="O4" s="1709"/>
      <c r="P4" s="1709"/>
      <c r="Q4" s="1709"/>
      <c r="R4" s="1709"/>
      <c r="S4" s="1709"/>
      <c r="T4" s="1709"/>
      <c r="U4" s="1709"/>
      <c r="V4" s="1709"/>
      <c r="W4" s="1709"/>
      <c r="X4" s="1709"/>
      <c r="Y4" s="1709"/>
      <c r="Z4" s="1709"/>
      <c r="AA4" s="1709"/>
      <c r="AB4" s="1709"/>
      <c r="AC4" s="1709"/>
    </row>
    <row r="5" spans="1:29" ht="47.25" customHeight="1">
      <c r="A5" s="1488" t="s">
        <v>1002</v>
      </c>
      <c r="B5" s="182" t="s">
        <v>1003</v>
      </c>
      <c r="C5" s="182" t="s">
        <v>1004</v>
      </c>
      <c r="D5" s="182" t="s">
        <v>1005</v>
      </c>
      <c r="E5" s="182" t="s">
        <v>1161</v>
      </c>
      <c r="F5" s="182" t="s">
        <v>1003</v>
      </c>
      <c r="G5" s="1710" t="s">
        <v>1163</v>
      </c>
      <c r="H5" s="182" t="s">
        <v>1004</v>
      </c>
      <c r="I5" s="1710" t="s">
        <v>1163</v>
      </c>
      <c r="J5" s="182" t="s">
        <v>1005</v>
      </c>
      <c r="K5" s="1710" t="s">
        <v>1163</v>
      </c>
      <c r="L5" s="182" t="s">
        <v>1006</v>
      </c>
      <c r="M5" s="1710" t="s">
        <v>1163</v>
      </c>
      <c r="N5" s="182" t="s">
        <v>1003</v>
      </c>
      <c r="O5" s="1710" t="s">
        <v>1168</v>
      </c>
      <c r="P5" s="182" t="s">
        <v>1004</v>
      </c>
      <c r="Q5" s="1710" t="s">
        <v>1168</v>
      </c>
      <c r="R5" s="182" t="s">
        <v>1005</v>
      </c>
      <c r="S5" s="1710" t="s">
        <v>1168</v>
      </c>
      <c r="T5" s="182" t="s">
        <v>1006</v>
      </c>
      <c r="U5" s="1710" t="s">
        <v>1168</v>
      </c>
      <c r="V5" s="182" t="s">
        <v>1003</v>
      </c>
      <c r="W5" s="1710" t="s">
        <v>1171</v>
      </c>
      <c r="X5" s="182" t="s">
        <v>1004</v>
      </c>
      <c r="Y5" s="1710" t="s">
        <v>1171</v>
      </c>
      <c r="Z5" s="182" t="s">
        <v>1005</v>
      </c>
      <c r="AA5" s="1710" t="s">
        <v>1171</v>
      </c>
      <c r="AB5" s="182" t="s">
        <v>1006</v>
      </c>
      <c r="AC5" s="1710" t="s">
        <v>1171</v>
      </c>
    </row>
    <row r="6" spans="1:29" ht="34.049999999999997" customHeight="1">
      <c r="A6" s="1488"/>
      <c r="B6" s="1598" t="s">
        <v>1162</v>
      </c>
      <c r="C6" s="1715"/>
      <c r="D6" s="1715"/>
      <c r="E6" s="308"/>
      <c r="F6" s="182" t="s">
        <v>776</v>
      </c>
      <c r="G6" s="1711"/>
      <c r="H6" s="182" t="s">
        <v>776</v>
      </c>
      <c r="I6" s="1711"/>
      <c r="J6" s="182" t="s">
        <v>776</v>
      </c>
      <c r="K6" s="1711"/>
      <c r="L6" s="182" t="s">
        <v>776</v>
      </c>
      <c r="M6" s="1711"/>
      <c r="N6" s="182" t="s">
        <v>732</v>
      </c>
      <c r="O6" s="1711"/>
      <c r="P6" s="182" t="s">
        <v>732</v>
      </c>
      <c r="Q6" s="1711"/>
      <c r="R6" s="182" t="s">
        <v>732</v>
      </c>
      <c r="S6" s="1711"/>
      <c r="T6" s="182" t="s">
        <v>732</v>
      </c>
      <c r="U6" s="1711"/>
      <c r="V6" s="182" t="s">
        <v>741</v>
      </c>
      <c r="W6" s="1711"/>
      <c r="X6" s="182" t="s">
        <v>741</v>
      </c>
      <c r="Y6" s="1711"/>
      <c r="Z6" s="182" t="s">
        <v>741</v>
      </c>
      <c r="AA6" s="1711"/>
      <c r="AB6" s="182" t="s">
        <v>741</v>
      </c>
      <c r="AC6" s="1711"/>
    </row>
    <row r="7" spans="1:29" ht="28.5">
      <c r="A7" s="1488"/>
      <c r="B7" s="182" t="s">
        <v>32</v>
      </c>
      <c r="C7" s="182" t="s">
        <v>33</v>
      </c>
      <c r="D7" s="182" t="s">
        <v>39</v>
      </c>
      <c r="E7" s="182" t="s">
        <v>40</v>
      </c>
      <c r="F7" s="182" t="s">
        <v>41</v>
      </c>
      <c r="G7" s="182" t="s">
        <v>1164</v>
      </c>
      <c r="H7" s="182" t="s">
        <v>90</v>
      </c>
      <c r="I7" s="182" t="s">
        <v>1165</v>
      </c>
      <c r="J7" s="182" t="s">
        <v>92</v>
      </c>
      <c r="K7" s="182" t="s">
        <v>1166</v>
      </c>
      <c r="L7" s="182" t="s">
        <v>316</v>
      </c>
      <c r="M7" s="182" t="s">
        <v>1007</v>
      </c>
      <c r="N7" s="182" t="s">
        <v>1008</v>
      </c>
      <c r="O7" s="182" t="s">
        <v>1167</v>
      </c>
      <c r="P7" s="182" t="s">
        <v>1009</v>
      </c>
      <c r="Q7" s="182" t="s">
        <v>1169</v>
      </c>
      <c r="R7" s="182" t="s">
        <v>1010</v>
      </c>
      <c r="S7" s="182" t="s">
        <v>1170</v>
      </c>
      <c r="T7" s="182" t="s">
        <v>1011</v>
      </c>
      <c r="U7" s="182" t="s">
        <v>1012</v>
      </c>
      <c r="V7" s="182" t="s">
        <v>1013</v>
      </c>
      <c r="W7" s="182" t="s">
        <v>1014</v>
      </c>
      <c r="X7" s="182" t="s">
        <v>1015</v>
      </c>
      <c r="Y7" s="182" t="s">
        <v>1016</v>
      </c>
      <c r="Z7" s="182" t="s">
        <v>629</v>
      </c>
      <c r="AA7" s="182" t="s">
        <v>1017</v>
      </c>
      <c r="AB7" s="182" t="s">
        <v>1018</v>
      </c>
      <c r="AC7" s="182" t="s">
        <v>1172</v>
      </c>
    </row>
    <row r="8" spans="1:29" hidden="1">
      <c r="A8" s="15" t="s">
        <v>1019</v>
      </c>
      <c r="B8" s="15"/>
      <c r="C8" s="15"/>
      <c r="D8" s="15"/>
      <c r="E8" s="15"/>
      <c r="F8" s="59"/>
      <c r="G8" s="59"/>
      <c r="H8" s="59"/>
      <c r="I8" s="59"/>
      <c r="J8" s="59"/>
      <c r="K8" s="59"/>
      <c r="L8" s="59"/>
      <c r="M8" s="59"/>
      <c r="N8" s="59"/>
      <c r="O8" s="59"/>
      <c r="P8" s="59"/>
      <c r="Q8" s="59"/>
      <c r="R8" s="59"/>
      <c r="S8" s="59"/>
      <c r="T8" s="59"/>
      <c r="U8" s="59"/>
      <c r="V8" s="59"/>
      <c r="W8" s="59"/>
      <c r="X8" s="59"/>
      <c r="Y8" s="59"/>
      <c r="Z8" s="59"/>
      <c r="AA8" s="59"/>
      <c r="AB8" s="59"/>
      <c r="AC8" s="59"/>
    </row>
    <row r="9" spans="1:29" hidden="1">
      <c r="A9" s="366" t="s">
        <v>1020</v>
      </c>
      <c r="B9" s="361"/>
      <c r="C9" s="361"/>
      <c r="D9" s="361"/>
      <c r="E9" s="361"/>
      <c r="F9" s="318"/>
      <c r="G9" s="370"/>
      <c r="H9" s="318"/>
      <c r="I9" s="370"/>
      <c r="J9" s="318"/>
      <c r="K9" s="370"/>
      <c r="L9" s="318"/>
      <c r="M9" s="318"/>
      <c r="N9" s="318"/>
      <c r="O9" s="370"/>
      <c r="P9" s="318"/>
      <c r="Q9" s="370"/>
      <c r="R9" s="318"/>
      <c r="S9" s="370"/>
      <c r="T9" s="318"/>
      <c r="U9" s="370"/>
      <c r="V9" s="318"/>
      <c r="W9" s="370"/>
      <c r="X9" s="318"/>
      <c r="Y9" s="370"/>
      <c r="Z9" s="318"/>
      <c r="AA9" s="370"/>
      <c r="AB9" s="318"/>
      <c r="AC9" s="370"/>
    </row>
    <row r="10" spans="1:29" hidden="1">
      <c r="A10" s="274" t="s">
        <v>1021</v>
      </c>
      <c r="B10" s="361"/>
      <c r="C10" s="361"/>
      <c r="D10" s="361"/>
      <c r="E10" s="361"/>
      <c r="F10" s="371"/>
      <c r="G10" s="370"/>
      <c r="H10" s="318"/>
      <c r="I10" s="370"/>
      <c r="J10" s="371"/>
      <c r="K10" s="372"/>
      <c r="L10" s="318"/>
      <c r="M10" s="318"/>
      <c r="N10" s="318"/>
      <c r="O10" s="370"/>
      <c r="P10" s="318"/>
      <c r="Q10" s="370"/>
      <c r="R10" s="318"/>
      <c r="S10" s="370"/>
      <c r="T10" s="318"/>
      <c r="U10" s="370"/>
      <c r="V10" s="318"/>
      <c r="W10" s="370"/>
      <c r="X10" s="318"/>
      <c r="Y10" s="370"/>
      <c r="Z10" s="318"/>
      <c r="AA10" s="370"/>
      <c r="AB10" s="318"/>
      <c r="AC10" s="370"/>
    </row>
    <row r="11" spans="1:29" hidden="1">
      <c r="A11" s="274" t="s">
        <v>1022</v>
      </c>
      <c r="B11" s="361"/>
      <c r="C11" s="361"/>
      <c r="D11" s="361"/>
      <c r="E11" s="361"/>
      <c r="F11" s="371"/>
      <c r="G11" s="370"/>
      <c r="H11" s="318"/>
      <c r="I11" s="370"/>
      <c r="J11" s="371"/>
      <c r="K11" s="372"/>
      <c r="L11" s="318"/>
      <c r="M11" s="318"/>
      <c r="N11" s="318"/>
      <c r="O11" s="370"/>
      <c r="P11" s="318"/>
      <c r="Q11" s="370"/>
      <c r="R11" s="318"/>
      <c r="S11" s="370"/>
      <c r="T11" s="318"/>
      <c r="U11" s="370"/>
      <c r="V11" s="318"/>
      <c r="W11" s="370"/>
      <c r="X11" s="318"/>
      <c r="Y11" s="370"/>
      <c r="Z11" s="318"/>
      <c r="AA11" s="370"/>
      <c r="AB11" s="318"/>
      <c r="AC11" s="370"/>
    </row>
    <row r="12" spans="1:29" hidden="1">
      <c r="A12" s="366" t="s">
        <v>1023</v>
      </c>
      <c r="B12" s="361"/>
      <c r="C12" s="361"/>
      <c r="D12" s="361"/>
      <c r="E12" s="361"/>
      <c r="F12" s="318"/>
      <c r="G12" s="370"/>
      <c r="H12" s="318"/>
      <c r="I12" s="370"/>
      <c r="J12" s="318"/>
      <c r="K12" s="370"/>
      <c r="L12" s="318"/>
      <c r="M12" s="318"/>
      <c r="N12" s="318"/>
      <c r="O12" s="370"/>
      <c r="P12" s="318"/>
      <c r="Q12" s="370"/>
      <c r="R12" s="318"/>
      <c r="S12" s="370"/>
      <c r="T12" s="318"/>
      <c r="U12" s="370"/>
      <c r="V12" s="318"/>
      <c r="W12" s="370"/>
      <c r="X12" s="318"/>
      <c r="Y12" s="370"/>
      <c r="Z12" s="318"/>
      <c r="AA12" s="370"/>
      <c r="AB12" s="318"/>
      <c r="AC12" s="370"/>
    </row>
    <row r="13" spans="1:29" hidden="1">
      <c r="A13" s="367" t="s">
        <v>1024</v>
      </c>
      <c r="B13" s="361"/>
      <c r="C13" s="361"/>
      <c r="D13" s="361"/>
      <c r="E13" s="361"/>
      <c r="F13" s="318"/>
      <c r="G13" s="370"/>
      <c r="H13" s="318"/>
      <c r="I13" s="370"/>
      <c r="J13" s="318"/>
      <c r="K13" s="370"/>
      <c r="L13" s="318"/>
      <c r="M13" s="318"/>
      <c r="N13" s="318"/>
      <c r="O13" s="370"/>
      <c r="P13" s="318"/>
      <c r="Q13" s="370"/>
      <c r="R13" s="318"/>
      <c r="S13" s="370"/>
      <c r="T13" s="318"/>
      <c r="U13" s="370"/>
      <c r="V13" s="318"/>
      <c r="W13" s="370"/>
      <c r="X13" s="318"/>
      <c r="Y13" s="370"/>
      <c r="Z13" s="318"/>
      <c r="AA13" s="370"/>
      <c r="AB13" s="318"/>
      <c r="AC13" s="318"/>
    </row>
    <row r="14" spans="1:29" hidden="1">
      <c r="A14" s="367" t="s">
        <v>1025</v>
      </c>
      <c r="B14" s="361"/>
      <c r="C14" s="361"/>
      <c r="D14" s="361"/>
      <c r="E14" s="361"/>
      <c r="F14" s="318"/>
      <c r="G14" s="370"/>
      <c r="H14" s="318"/>
      <c r="I14" s="370"/>
      <c r="J14" s="318"/>
      <c r="K14" s="370"/>
      <c r="L14" s="318"/>
      <c r="M14" s="318"/>
      <c r="N14" s="318"/>
      <c r="O14" s="370"/>
      <c r="P14" s="318"/>
      <c r="Q14" s="370"/>
      <c r="R14" s="318"/>
      <c r="S14" s="370"/>
      <c r="T14" s="318"/>
      <c r="U14" s="370"/>
      <c r="V14" s="318"/>
      <c r="W14" s="370"/>
      <c r="X14" s="318"/>
      <c r="Y14" s="370"/>
      <c r="Z14" s="318"/>
      <c r="AA14" s="370"/>
      <c r="AB14" s="318"/>
      <c r="AC14" s="370"/>
    </row>
    <row r="15" spans="1:29" hidden="1">
      <c r="A15" s="367" t="s">
        <v>1026</v>
      </c>
      <c r="B15" s="361"/>
      <c r="C15" s="361"/>
      <c r="D15" s="361"/>
      <c r="E15" s="361"/>
      <c r="F15" s="318"/>
      <c r="G15" s="370"/>
      <c r="H15" s="318"/>
      <c r="I15" s="370"/>
      <c r="J15" s="318"/>
      <c r="K15" s="370"/>
      <c r="L15" s="318"/>
      <c r="M15" s="318"/>
      <c r="N15" s="318"/>
      <c r="O15" s="370"/>
      <c r="P15" s="318"/>
      <c r="Q15" s="370"/>
      <c r="R15" s="318"/>
      <c r="S15" s="370"/>
      <c r="T15" s="318"/>
      <c r="U15" s="370"/>
      <c r="V15" s="318"/>
      <c r="W15" s="370"/>
      <c r="X15" s="318"/>
      <c r="Y15" s="370"/>
      <c r="Z15" s="318"/>
      <c r="AA15" s="370"/>
      <c r="AB15" s="318"/>
      <c r="AC15" s="370"/>
    </row>
    <row r="16" spans="1:29" hidden="1">
      <c r="A16" s="367" t="s">
        <v>1027</v>
      </c>
      <c r="B16" s="361"/>
      <c r="C16" s="361"/>
      <c r="D16" s="361"/>
      <c r="E16" s="361"/>
      <c r="F16" s="318"/>
      <c r="G16" s="370"/>
      <c r="H16" s="318"/>
      <c r="I16" s="370"/>
      <c r="J16" s="318"/>
      <c r="K16" s="370"/>
      <c r="L16" s="318"/>
      <c r="M16" s="318"/>
      <c r="N16" s="318"/>
      <c r="O16" s="370"/>
      <c r="P16" s="318"/>
      <c r="Q16" s="370"/>
      <c r="R16" s="318"/>
      <c r="S16" s="370"/>
      <c r="T16" s="318"/>
      <c r="U16" s="370"/>
      <c r="V16" s="318"/>
      <c r="W16" s="370"/>
      <c r="X16" s="318"/>
      <c r="Y16" s="370"/>
      <c r="Z16" s="318"/>
      <c r="AA16" s="370"/>
      <c r="AB16" s="318"/>
      <c r="AC16" s="370"/>
    </row>
    <row r="17" spans="1:29" hidden="1">
      <c r="A17" s="367" t="s">
        <v>1028</v>
      </c>
      <c r="B17" s="361"/>
      <c r="C17" s="361"/>
      <c r="D17" s="361"/>
      <c r="E17" s="361"/>
      <c r="F17" s="318"/>
      <c r="G17" s="370"/>
      <c r="H17" s="318"/>
      <c r="I17" s="370"/>
      <c r="J17" s="318"/>
      <c r="K17" s="370"/>
      <c r="L17" s="318"/>
      <c r="M17" s="318"/>
      <c r="N17" s="318"/>
      <c r="O17" s="370"/>
      <c r="P17" s="318"/>
      <c r="Q17" s="370"/>
      <c r="R17" s="318"/>
      <c r="S17" s="370"/>
      <c r="T17" s="318"/>
      <c r="U17" s="370"/>
      <c r="V17" s="318"/>
      <c r="W17" s="370"/>
      <c r="X17" s="318"/>
      <c r="Y17" s="370"/>
      <c r="Z17" s="318"/>
      <c r="AA17" s="370"/>
      <c r="AB17" s="318"/>
      <c r="AC17" s="370"/>
    </row>
    <row r="18" spans="1:29" hidden="1">
      <c r="A18" s="367"/>
      <c r="B18" s="361"/>
      <c r="C18" s="361"/>
      <c r="D18" s="361"/>
      <c r="E18" s="361"/>
      <c r="F18" s="362"/>
      <c r="G18" s="363"/>
      <c r="H18" s="362"/>
      <c r="I18" s="363"/>
      <c r="J18" s="362"/>
      <c r="K18" s="362"/>
      <c r="L18" s="362"/>
      <c r="M18" s="362"/>
      <c r="N18" s="362"/>
      <c r="O18" s="363"/>
      <c r="P18" s="362"/>
      <c r="Q18" s="363"/>
      <c r="R18" s="362"/>
      <c r="S18" s="363"/>
      <c r="T18" s="362"/>
      <c r="U18" s="363"/>
      <c r="V18" s="362"/>
      <c r="W18" s="363"/>
      <c r="X18" s="363"/>
      <c r="Y18" s="363"/>
      <c r="Z18" s="362"/>
      <c r="AA18" s="363"/>
      <c r="AB18" s="362"/>
      <c r="AC18" s="363"/>
    </row>
    <row r="19" spans="1:29" hidden="1">
      <c r="A19" s="366" t="s">
        <v>1029</v>
      </c>
      <c r="B19" s="361"/>
      <c r="C19" s="361"/>
      <c r="D19" s="361"/>
      <c r="E19" s="361"/>
      <c r="F19" s="362"/>
      <c r="G19" s="363"/>
      <c r="H19" s="362"/>
      <c r="I19" s="363"/>
      <c r="J19" s="362"/>
      <c r="K19" s="363"/>
      <c r="L19" s="362"/>
      <c r="M19" s="362"/>
      <c r="N19" s="362"/>
      <c r="O19" s="363"/>
      <c r="P19" s="362"/>
      <c r="Q19" s="363"/>
      <c r="R19" s="362"/>
      <c r="S19" s="363"/>
      <c r="T19" s="362"/>
      <c r="U19" s="363"/>
      <c r="V19" s="362"/>
      <c r="W19" s="363"/>
      <c r="X19" s="362"/>
      <c r="Y19" s="363"/>
      <c r="Z19" s="362"/>
      <c r="AA19" s="363"/>
      <c r="AB19" s="362"/>
      <c r="AC19" s="363"/>
    </row>
    <row r="20" spans="1:29" hidden="1">
      <c r="A20" s="367"/>
      <c r="B20" s="361"/>
      <c r="C20" s="361"/>
      <c r="D20" s="361"/>
      <c r="E20" s="361"/>
      <c r="F20" s="363"/>
      <c r="G20" s="363"/>
      <c r="H20" s="363"/>
      <c r="I20" s="363"/>
      <c r="J20" s="363"/>
      <c r="K20" s="363"/>
      <c r="L20" s="362"/>
      <c r="M20" s="362"/>
      <c r="N20" s="363"/>
      <c r="O20" s="363"/>
      <c r="P20" s="363"/>
      <c r="Q20" s="363"/>
      <c r="R20" s="363"/>
      <c r="S20" s="363"/>
      <c r="T20" s="362"/>
      <c r="U20" s="363"/>
      <c r="V20" s="363"/>
      <c r="W20" s="363"/>
      <c r="X20" s="363"/>
      <c r="Y20" s="363"/>
      <c r="Z20" s="362"/>
      <c r="AA20" s="363"/>
      <c r="AB20" s="362"/>
      <c r="AC20" s="363"/>
    </row>
    <row r="21" spans="1:29" hidden="1">
      <c r="A21" s="366" t="s">
        <v>1030</v>
      </c>
      <c r="B21" s="361"/>
      <c r="C21" s="361"/>
      <c r="D21" s="361"/>
      <c r="E21" s="361"/>
      <c r="F21" s="362"/>
      <c r="G21" s="363"/>
      <c r="H21" s="362"/>
      <c r="I21" s="363"/>
      <c r="J21" s="362"/>
      <c r="K21" s="363"/>
      <c r="L21" s="362"/>
      <c r="M21" s="362"/>
      <c r="N21" s="362"/>
      <c r="O21" s="363"/>
      <c r="P21" s="362"/>
      <c r="Q21" s="363"/>
      <c r="R21" s="362"/>
      <c r="S21" s="363"/>
      <c r="T21" s="362"/>
      <c r="U21" s="363"/>
      <c r="V21" s="362"/>
      <c r="W21" s="363"/>
      <c r="X21" s="362"/>
      <c r="Y21" s="363"/>
      <c r="Z21" s="362"/>
      <c r="AA21" s="363"/>
      <c r="AB21" s="362"/>
      <c r="AC21" s="363"/>
    </row>
    <row r="22" spans="1:29" hidden="1">
      <c r="A22" s="368" t="s">
        <v>1031</v>
      </c>
      <c r="B22" s="361"/>
      <c r="C22" s="361"/>
      <c r="D22" s="361"/>
      <c r="E22" s="361"/>
      <c r="F22" s="362"/>
      <c r="G22" s="363"/>
      <c r="H22" s="362"/>
      <c r="I22" s="363"/>
      <c r="J22" s="362"/>
      <c r="K22" s="363"/>
      <c r="L22" s="362"/>
      <c r="M22" s="362"/>
      <c r="N22" s="362"/>
      <c r="O22" s="363"/>
      <c r="P22" s="362"/>
      <c r="Q22" s="363"/>
      <c r="R22" s="362"/>
      <c r="S22" s="363"/>
      <c r="T22" s="362"/>
      <c r="U22" s="363"/>
      <c r="V22" s="362"/>
      <c r="W22" s="363"/>
      <c r="X22" s="362"/>
      <c r="Y22" s="363"/>
      <c r="Z22" s="362"/>
      <c r="AA22" s="363"/>
      <c r="AB22" s="362"/>
      <c r="AC22" s="363"/>
    </row>
    <row r="23" spans="1:29" hidden="1">
      <c r="A23" s="368" t="s">
        <v>1032</v>
      </c>
      <c r="B23" s="361"/>
      <c r="C23" s="361"/>
      <c r="D23" s="361"/>
      <c r="E23" s="361"/>
      <c r="F23" s="362"/>
      <c r="G23" s="363"/>
      <c r="H23" s="362"/>
      <c r="I23" s="363"/>
      <c r="J23" s="362"/>
      <c r="K23" s="363"/>
      <c r="L23" s="362"/>
      <c r="M23" s="362"/>
      <c r="N23" s="362"/>
      <c r="O23" s="363"/>
      <c r="P23" s="362"/>
      <c r="Q23" s="363"/>
      <c r="R23" s="362"/>
      <c r="S23" s="363"/>
      <c r="T23" s="362"/>
      <c r="U23" s="363"/>
      <c r="V23" s="362"/>
      <c r="W23" s="363"/>
      <c r="X23" s="362"/>
      <c r="Y23" s="363"/>
      <c r="Z23" s="362"/>
      <c r="AA23" s="363"/>
      <c r="AB23" s="362"/>
      <c r="AC23" s="363"/>
    </row>
    <row r="24" spans="1:29" hidden="1">
      <c r="A24" s="368" t="s">
        <v>1033</v>
      </c>
      <c r="B24" s="361"/>
      <c r="C24" s="361"/>
      <c r="D24" s="361"/>
      <c r="E24" s="361"/>
      <c r="F24" s="362"/>
      <c r="G24" s="363"/>
      <c r="H24" s="362"/>
      <c r="I24" s="363"/>
      <c r="J24" s="362"/>
      <c r="K24" s="363"/>
      <c r="L24" s="362"/>
      <c r="M24" s="362"/>
      <c r="N24" s="362"/>
      <c r="O24" s="363"/>
      <c r="P24" s="362"/>
      <c r="Q24" s="363"/>
      <c r="R24" s="362"/>
      <c r="S24" s="363"/>
      <c r="T24" s="362"/>
      <c r="U24" s="363"/>
      <c r="V24" s="362"/>
      <c r="W24" s="363"/>
      <c r="X24" s="362"/>
      <c r="Y24" s="363"/>
      <c r="Z24" s="362"/>
      <c r="AA24" s="363"/>
      <c r="AB24" s="362"/>
      <c r="AC24" s="363"/>
    </row>
    <row r="25" spans="1:29" hidden="1">
      <c r="A25" s="368" t="s">
        <v>1034</v>
      </c>
      <c r="B25" s="361"/>
      <c r="C25" s="361"/>
      <c r="D25" s="361"/>
      <c r="E25" s="361"/>
      <c r="F25" s="362"/>
      <c r="G25" s="363"/>
      <c r="H25" s="362"/>
      <c r="I25" s="363"/>
      <c r="J25" s="362"/>
      <c r="K25" s="363"/>
      <c r="L25" s="362"/>
      <c r="M25" s="362"/>
      <c r="N25" s="362"/>
      <c r="O25" s="363"/>
      <c r="P25" s="362"/>
      <c r="Q25" s="363"/>
      <c r="R25" s="362"/>
      <c r="S25" s="363"/>
      <c r="T25" s="362"/>
      <c r="U25" s="363"/>
      <c r="V25" s="362"/>
      <c r="W25" s="363"/>
      <c r="X25" s="362"/>
      <c r="Y25" s="363"/>
      <c r="Z25" s="362"/>
      <c r="AA25" s="363"/>
      <c r="AB25" s="362"/>
      <c r="AC25" s="363"/>
    </row>
    <row r="26" spans="1:29" hidden="1">
      <c r="A26" s="367"/>
      <c r="B26" s="361"/>
      <c r="C26" s="361"/>
      <c r="D26" s="361"/>
      <c r="E26" s="361"/>
      <c r="F26" s="362"/>
      <c r="G26" s="363"/>
      <c r="H26" s="362"/>
      <c r="I26" s="363"/>
      <c r="J26" s="362"/>
      <c r="K26" s="362"/>
      <c r="L26" s="362"/>
      <c r="M26" s="362"/>
      <c r="N26" s="362"/>
      <c r="O26" s="363"/>
      <c r="P26" s="362"/>
      <c r="Q26" s="363"/>
      <c r="R26" s="362"/>
      <c r="S26" s="363"/>
      <c r="T26" s="362"/>
      <c r="U26" s="363"/>
      <c r="V26" s="362"/>
      <c r="W26" s="363"/>
      <c r="X26" s="362"/>
      <c r="Y26" s="363"/>
      <c r="Z26" s="362"/>
      <c r="AA26" s="363"/>
      <c r="AB26" s="362"/>
      <c r="AC26" s="363"/>
    </row>
    <row r="27" spans="1:29" hidden="1">
      <c r="A27" s="366" t="s">
        <v>1035</v>
      </c>
      <c r="B27" s="361"/>
      <c r="C27" s="361"/>
      <c r="D27" s="361"/>
      <c r="E27" s="361"/>
      <c r="F27" s="362"/>
      <c r="G27" s="363"/>
      <c r="H27" s="362"/>
      <c r="I27" s="363"/>
      <c r="J27" s="362"/>
      <c r="K27" s="363"/>
      <c r="L27" s="362"/>
      <c r="M27" s="362"/>
      <c r="N27" s="362"/>
      <c r="O27" s="363"/>
      <c r="P27" s="362"/>
      <c r="Q27" s="363"/>
      <c r="R27" s="362"/>
      <c r="S27" s="363"/>
      <c r="T27" s="362"/>
      <c r="U27" s="363"/>
      <c r="V27" s="362"/>
      <c r="W27" s="363"/>
      <c r="X27" s="362"/>
      <c r="Y27" s="363"/>
      <c r="Z27" s="362"/>
      <c r="AA27" s="363"/>
      <c r="AB27" s="362"/>
      <c r="AC27" s="363"/>
    </row>
    <row r="28" spans="1:29" hidden="1">
      <c r="A28" s="18" t="s">
        <v>1036</v>
      </c>
      <c r="B28" s="361"/>
      <c r="C28" s="361"/>
      <c r="D28" s="361"/>
      <c r="E28" s="361"/>
      <c r="F28" s="362"/>
      <c r="G28" s="363"/>
      <c r="H28" s="362"/>
      <c r="I28" s="363"/>
      <c r="J28" s="362"/>
      <c r="K28" s="363"/>
      <c r="L28" s="362"/>
      <c r="M28" s="362"/>
      <c r="N28" s="362"/>
      <c r="O28" s="363"/>
      <c r="P28" s="362"/>
      <c r="Q28" s="363"/>
      <c r="R28" s="362"/>
      <c r="S28" s="363"/>
      <c r="T28" s="362"/>
      <c r="U28" s="363"/>
      <c r="V28" s="362"/>
      <c r="W28" s="363"/>
      <c r="X28" s="362"/>
      <c r="Y28" s="363"/>
      <c r="Z28" s="362"/>
      <c r="AA28" s="363"/>
      <c r="AB28" s="362"/>
      <c r="AC28" s="363"/>
    </row>
    <row r="29" spans="1:29" hidden="1">
      <c r="A29" s="18" t="s">
        <v>1037</v>
      </c>
      <c r="B29" s="361"/>
      <c r="C29" s="361"/>
      <c r="D29" s="361"/>
      <c r="E29" s="361"/>
      <c r="F29" s="362"/>
      <c r="G29" s="363"/>
      <c r="H29" s="362"/>
      <c r="I29" s="363"/>
      <c r="J29" s="362"/>
      <c r="K29" s="363"/>
      <c r="L29" s="362"/>
      <c r="M29" s="362"/>
      <c r="N29" s="362"/>
      <c r="O29" s="363"/>
      <c r="P29" s="362"/>
      <c r="Q29" s="363"/>
      <c r="R29" s="362"/>
      <c r="S29" s="363"/>
      <c r="T29" s="362"/>
      <c r="U29" s="363"/>
      <c r="V29" s="362"/>
      <c r="W29" s="363"/>
      <c r="X29" s="362"/>
      <c r="Y29" s="363"/>
      <c r="Z29" s="362"/>
      <c r="AA29" s="363"/>
      <c r="AB29" s="362"/>
      <c r="AC29" s="363"/>
    </row>
    <row r="30" spans="1:29" ht="28.5" hidden="1">
      <c r="A30" s="36" t="s">
        <v>1245</v>
      </c>
      <c r="B30" s="361"/>
      <c r="C30" s="361"/>
      <c r="D30" s="361"/>
      <c r="E30" s="361"/>
      <c r="F30" s="362"/>
      <c r="G30" s="363"/>
      <c r="H30" s="362"/>
      <c r="I30" s="363"/>
      <c r="J30" s="362"/>
      <c r="K30" s="362"/>
      <c r="L30" s="362"/>
      <c r="M30" s="362"/>
      <c r="N30" s="362"/>
      <c r="O30" s="363"/>
      <c r="P30" s="362"/>
      <c r="Q30" s="363"/>
      <c r="R30" s="362"/>
      <c r="S30" s="363"/>
      <c r="T30" s="362"/>
      <c r="U30" s="363"/>
      <c r="V30" s="362"/>
      <c r="W30" s="363"/>
      <c r="X30" s="362"/>
      <c r="Y30" s="363"/>
      <c r="Z30" s="362"/>
      <c r="AA30" s="363"/>
      <c r="AB30" s="362"/>
      <c r="AC30" s="363"/>
    </row>
    <row r="31" spans="1:29" hidden="1">
      <c r="A31" s="369" t="s">
        <v>1038</v>
      </c>
      <c r="B31" s="361"/>
      <c r="C31" s="361"/>
      <c r="D31" s="361"/>
      <c r="E31" s="361"/>
      <c r="F31" s="362"/>
      <c r="G31" s="363"/>
      <c r="H31" s="362"/>
      <c r="I31" s="363"/>
      <c r="J31" s="362"/>
      <c r="K31" s="363"/>
      <c r="L31" s="364"/>
      <c r="M31" s="364"/>
      <c r="N31" s="362"/>
      <c r="O31" s="363"/>
      <c r="P31" s="362"/>
      <c r="Q31" s="363"/>
      <c r="R31" s="362"/>
      <c r="S31" s="363"/>
      <c r="T31" s="362"/>
      <c r="U31" s="363"/>
      <c r="V31" s="362"/>
      <c r="W31" s="363"/>
      <c r="X31" s="362"/>
      <c r="Y31" s="363"/>
      <c r="Z31" s="362"/>
      <c r="AA31" s="363"/>
      <c r="AB31" s="362"/>
      <c r="AC31" s="363"/>
    </row>
    <row r="32" spans="1:29" hidden="1">
      <c r="A32" s="18"/>
      <c r="B32" s="361"/>
      <c r="C32" s="361"/>
      <c r="D32" s="361"/>
      <c r="E32" s="361"/>
      <c r="F32" s="362"/>
      <c r="G32" s="363"/>
      <c r="H32" s="362"/>
      <c r="I32" s="363"/>
      <c r="J32" s="362"/>
      <c r="K32" s="362"/>
      <c r="L32" s="362"/>
      <c r="M32" s="362"/>
      <c r="N32" s="362"/>
      <c r="O32" s="363"/>
      <c r="P32" s="362"/>
      <c r="Q32" s="363"/>
      <c r="R32" s="362"/>
      <c r="S32" s="363"/>
      <c r="T32" s="362"/>
      <c r="U32" s="363"/>
      <c r="V32" s="362"/>
      <c r="W32" s="363"/>
      <c r="X32" s="362"/>
      <c r="Y32" s="363"/>
      <c r="Z32" s="362"/>
      <c r="AA32" s="363"/>
      <c r="AB32" s="362"/>
      <c r="AC32" s="363"/>
    </row>
    <row r="33" spans="1:29" hidden="1">
      <c r="A33" s="18" t="s">
        <v>1039</v>
      </c>
      <c r="B33" s="362"/>
      <c r="C33" s="362"/>
      <c r="D33" s="362"/>
      <c r="E33" s="362"/>
      <c r="F33" s="362"/>
      <c r="G33" s="362"/>
      <c r="H33" s="362"/>
      <c r="I33" s="363"/>
      <c r="J33" s="362"/>
      <c r="K33" s="362"/>
      <c r="L33" s="362"/>
      <c r="M33" s="362"/>
      <c r="N33" s="362"/>
      <c r="O33" s="362"/>
      <c r="P33" s="362"/>
      <c r="Q33" s="362"/>
      <c r="R33" s="362"/>
      <c r="S33" s="362"/>
      <c r="T33" s="362"/>
      <c r="U33" s="362"/>
      <c r="V33" s="362"/>
      <c r="W33" s="362"/>
      <c r="X33" s="362"/>
      <c r="Y33" s="362"/>
      <c r="Z33" s="362"/>
      <c r="AA33" s="362"/>
      <c r="AB33" s="362"/>
      <c r="AC33" s="362"/>
    </row>
    <row r="34" spans="1:29" hidden="1">
      <c r="A34" s="369" t="s">
        <v>1040</v>
      </c>
      <c r="B34" s="361"/>
      <c r="C34" s="361"/>
      <c r="D34" s="361"/>
      <c r="E34" s="361"/>
      <c r="F34" s="362"/>
      <c r="G34" s="363"/>
      <c r="H34" s="362"/>
      <c r="I34" s="363"/>
      <c r="J34" s="362"/>
      <c r="K34" s="363"/>
      <c r="L34" s="362"/>
      <c r="M34" s="362"/>
      <c r="N34" s="362"/>
      <c r="O34" s="363"/>
      <c r="P34" s="362"/>
      <c r="Q34" s="363"/>
      <c r="R34" s="362"/>
      <c r="S34" s="363"/>
      <c r="T34" s="362"/>
      <c r="U34" s="363"/>
      <c r="V34" s="362"/>
      <c r="W34" s="363"/>
      <c r="X34" s="362"/>
      <c r="Y34" s="363"/>
      <c r="Z34" s="362"/>
      <c r="AA34" s="363"/>
      <c r="AB34" s="362"/>
      <c r="AC34" s="363"/>
    </row>
    <row r="35" spans="1:29" hidden="1">
      <c r="A35" s="18" t="s">
        <v>1041</v>
      </c>
      <c r="B35" s="361"/>
      <c r="C35" s="361"/>
      <c r="D35" s="361"/>
      <c r="E35" s="361"/>
      <c r="F35" s="362"/>
      <c r="G35" s="363"/>
      <c r="H35" s="362"/>
      <c r="I35" s="363"/>
      <c r="J35" s="362"/>
      <c r="K35" s="363"/>
      <c r="L35" s="362"/>
      <c r="M35" s="362"/>
      <c r="N35" s="362"/>
      <c r="O35" s="363"/>
      <c r="P35" s="362"/>
      <c r="Q35" s="363"/>
      <c r="R35" s="362"/>
      <c r="S35" s="363"/>
      <c r="T35" s="362"/>
      <c r="U35" s="363"/>
      <c r="V35" s="362"/>
      <c r="W35" s="363"/>
      <c r="X35" s="362"/>
      <c r="Y35" s="363"/>
      <c r="Z35" s="362"/>
      <c r="AA35" s="363"/>
      <c r="AB35" s="362"/>
      <c r="AC35" s="363"/>
    </row>
    <row r="36" spans="1:29" hidden="1">
      <c r="A36" s="18" t="s">
        <v>1042</v>
      </c>
      <c r="B36" s="361"/>
      <c r="C36" s="361"/>
      <c r="D36" s="361"/>
      <c r="E36" s="361"/>
      <c r="F36" s="362"/>
      <c r="G36" s="363"/>
      <c r="H36" s="362"/>
      <c r="I36" s="363"/>
      <c r="J36" s="362"/>
      <c r="K36" s="363"/>
      <c r="L36" s="362"/>
      <c r="M36" s="362"/>
      <c r="N36" s="362"/>
      <c r="O36" s="363"/>
      <c r="P36" s="362"/>
      <c r="Q36" s="363"/>
      <c r="R36" s="362"/>
      <c r="S36" s="363"/>
      <c r="T36" s="362"/>
      <c r="U36" s="363"/>
      <c r="V36" s="362"/>
      <c r="W36" s="363"/>
      <c r="X36" s="362"/>
      <c r="Y36" s="363"/>
      <c r="Z36" s="362"/>
      <c r="AA36" s="363"/>
      <c r="AB36" s="362"/>
      <c r="AC36" s="363"/>
    </row>
    <row r="37" spans="1:29" hidden="1">
      <c r="A37" s="369" t="s">
        <v>1043</v>
      </c>
      <c r="B37" s="361"/>
      <c r="C37" s="361"/>
      <c r="D37" s="361"/>
      <c r="E37" s="361"/>
      <c r="F37" s="362"/>
      <c r="G37" s="363"/>
      <c r="H37" s="362"/>
      <c r="I37" s="363"/>
      <c r="J37" s="362"/>
      <c r="K37" s="363"/>
      <c r="L37" s="362"/>
      <c r="M37" s="362"/>
      <c r="N37" s="362"/>
      <c r="O37" s="363"/>
      <c r="P37" s="362"/>
      <c r="Q37" s="363"/>
      <c r="R37" s="362"/>
      <c r="S37" s="363"/>
      <c r="T37" s="362"/>
      <c r="U37" s="363"/>
      <c r="V37" s="362"/>
      <c r="W37" s="363"/>
      <c r="X37" s="362"/>
      <c r="Y37" s="363"/>
      <c r="Z37" s="362"/>
      <c r="AA37" s="363"/>
      <c r="AB37" s="362"/>
      <c r="AC37" s="363"/>
    </row>
    <row r="38" spans="1:29" ht="28.5" hidden="1">
      <c r="A38" s="447" t="s">
        <v>1044</v>
      </c>
      <c r="B38" s="361"/>
      <c r="C38" s="361"/>
      <c r="D38" s="361"/>
      <c r="E38" s="361"/>
      <c r="F38" s="362"/>
      <c r="G38" s="363"/>
      <c r="H38" s="362"/>
      <c r="I38" s="363"/>
      <c r="J38" s="362"/>
      <c r="K38" s="363"/>
      <c r="L38" s="362"/>
      <c r="M38" s="362"/>
      <c r="N38" s="362"/>
      <c r="O38" s="363"/>
      <c r="P38" s="362"/>
      <c r="Q38" s="363"/>
      <c r="R38" s="362"/>
      <c r="S38" s="363"/>
      <c r="T38" s="362"/>
      <c r="U38" s="363"/>
      <c r="V38" s="362"/>
      <c r="W38" s="363"/>
      <c r="X38" s="362"/>
      <c r="Y38" s="363"/>
      <c r="Z38" s="362"/>
      <c r="AA38" s="363"/>
      <c r="AB38" s="362"/>
      <c r="AC38" s="363"/>
    </row>
    <row r="39" spans="1:29" hidden="1">
      <c r="A39" s="369" t="s">
        <v>1045</v>
      </c>
      <c r="B39" s="361"/>
      <c r="C39" s="361"/>
      <c r="D39" s="361"/>
      <c r="E39" s="361"/>
      <c r="F39" s="362"/>
      <c r="G39" s="363"/>
      <c r="H39" s="362"/>
      <c r="I39" s="363"/>
      <c r="J39" s="362"/>
      <c r="K39" s="363"/>
      <c r="L39" s="362"/>
      <c r="M39" s="362"/>
      <c r="N39" s="362"/>
      <c r="O39" s="363"/>
      <c r="P39" s="362"/>
      <c r="Q39" s="363"/>
      <c r="R39" s="362"/>
      <c r="S39" s="363"/>
      <c r="T39" s="362"/>
      <c r="U39" s="363"/>
      <c r="V39" s="362"/>
      <c r="W39" s="363"/>
      <c r="X39" s="362"/>
      <c r="Y39" s="363"/>
      <c r="Z39" s="362"/>
      <c r="AA39" s="363"/>
      <c r="AB39" s="362"/>
      <c r="AC39" s="363"/>
    </row>
    <row r="40" spans="1:29" hidden="1">
      <c r="A40" s="18" t="s">
        <v>1046</v>
      </c>
      <c r="B40" s="361"/>
      <c r="C40" s="361"/>
      <c r="D40" s="361"/>
      <c r="E40" s="361"/>
      <c r="F40" s="362"/>
      <c r="G40" s="363"/>
      <c r="H40" s="362"/>
      <c r="I40" s="363"/>
      <c r="J40" s="362"/>
      <c r="K40" s="363"/>
      <c r="L40" s="362"/>
      <c r="M40" s="362"/>
      <c r="N40" s="362"/>
      <c r="O40" s="363"/>
      <c r="P40" s="362"/>
      <c r="Q40" s="363"/>
      <c r="R40" s="362"/>
      <c r="S40" s="363"/>
      <c r="T40" s="362"/>
      <c r="U40" s="363"/>
      <c r="V40" s="362"/>
      <c r="W40" s="363"/>
      <c r="X40" s="362"/>
      <c r="Y40" s="363"/>
      <c r="Z40" s="362"/>
      <c r="AA40" s="363"/>
      <c r="AB40" s="362"/>
      <c r="AC40" s="363"/>
    </row>
    <row r="41" spans="1:29" hidden="1">
      <c r="A41" s="18" t="s">
        <v>1047</v>
      </c>
      <c r="B41" s="361"/>
      <c r="C41" s="361"/>
      <c r="D41" s="361"/>
      <c r="E41" s="361"/>
      <c r="F41" s="362"/>
      <c r="G41" s="363"/>
      <c r="H41" s="362"/>
      <c r="I41" s="363"/>
      <c r="J41" s="362"/>
      <c r="K41" s="363"/>
      <c r="L41" s="362"/>
      <c r="M41" s="362"/>
      <c r="N41" s="362"/>
      <c r="O41" s="363"/>
      <c r="P41" s="362"/>
      <c r="Q41" s="363"/>
      <c r="R41" s="362"/>
      <c r="S41" s="363"/>
      <c r="T41" s="362"/>
      <c r="U41" s="363"/>
      <c r="V41" s="362"/>
      <c r="W41" s="363"/>
      <c r="X41" s="362"/>
      <c r="Y41" s="363"/>
      <c r="Z41" s="362"/>
      <c r="AA41" s="363"/>
      <c r="AB41" s="362"/>
      <c r="AC41" s="363"/>
    </row>
    <row r="42" spans="1:29" hidden="1">
      <c r="A42" s="18" t="s">
        <v>1048</v>
      </c>
      <c r="B42" s="361"/>
      <c r="C42" s="361"/>
      <c r="D42" s="361"/>
      <c r="E42" s="361"/>
      <c r="F42" s="362"/>
      <c r="G42" s="363"/>
      <c r="H42" s="362"/>
      <c r="I42" s="363"/>
      <c r="J42" s="362"/>
      <c r="K42" s="363"/>
      <c r="L42" s="362"/>
      <c r="M42" s="362"/>
      <c r="N42" s="362"/>
      <c r="O42" s="363"/>
      <c r="P42" s="362"/>
      <c r="Q42" s="363"/>
      <c r="R42" s="362"/>
      <c r="S42" s="363"/>
      <c r="T42" s="362"/>
      <c r="U42" s="363"/>
      <c r="V42" s="362"/>
      <c r="W42" s="363"/>
      <c r="X42" s="362"/>
      <c r="Y42" s="363"/>
      <c r="Z42" s="362"/>
      <c r="AA42" s="363"/>
      <c r="AB42" s="362"/>
      <c r="AC42" s="363"/>
    </row>
    <row r="43" spans="1:29" hidden="1">
      <c r="A43" s="369" t="s">
        <v>1049</v>
      </c>
      <c r="B43" s="361"/>
      <c r="C43" s="361"/>
      <c r="D43" s="361"/>
      <c r="E43" s="361"/>
      <c r="F43" s="362"/>
      <c r="G43" s="363"/>
      <c r="H43" s="362"/>
      <c r="I43" s="363"/>
      <c r="J43" s="362"/>
      <c r="K43" s="363"/>
      <c r="L43" s="362"/>
      <c r="M43" s="362"/>
      <c r="N43" s="362"/>
      <c r="O43" s="363"/>
      <c r="P43" s="362"/>
      <c r="Q43" s="363"/>
      <c r="R43" s="362"/>
      <c r="S43" s="363"/>
      <c r="T43" s="362"/>
      <c r="U43" s="363"/>
      <c r="V43" s="362"/>
      <c r="W43" s="363"/>
      <c r="X43" s="362"/>
      <c r="Y43" s="363"/>
      <c r="Z43" s="362"/>
      <c r="AA43" s="363"/>
      <c r="AB43" s="362"/>
      <c r="AC43" s="363"/>
    </row>
    <row r="44" spans="1:29" hidden="1">
      <c r="A44" s="18"/>
      <c r="B44" s="361"/>
      <c r="C44" s="361"/>
      <c r="D44" s="361"/>
      <c r="E44" s="361"/>
      <c r="F44" s="362"/>
      <c r="G44" s="363"/>
      <c r="H44" s="362"/>
      <c r="I44" s="363"/>
      <c r="J44" s="362"/>
      <c r="K44" s="362"/>
      <c r="L44" s="362"/>
      <c r="M44" s="362"/>
      <c r="N44" s="362"/>
      <c r="O44" s="363"/>
      <c r="P44" s="362"/>
      <c r="Q44" s="363"/>
      <c r="R44" s="362"/>
      <c r="S44" s="363"/>
      <c r="T44" s="362"/>
      <c r="U44" s="363"/>
      <c r="V44" s="362"/>
      <c r="W44" s="363"/>
      <c r="X44" s="362"/>
      <c r="Y44" s="363"/>
      <c r="Z44" s="362"/>
      <c r="AA44" s="363"/>
      <c r="AB44" s="362"/>
      <c r="AC44" s="363"/>
    </row>
    <row r="45" spans="1:29" hidden="1">
      <c r="A45" s="18" t="s">
        <v>1050</v>
      </c>
      <c r="B45" s="362"/>
      <c r="C45" s="362"/>
      <c r="D45" s="362"/>
      <c r="E45" s="362"/>
      <c r="F45" s="362"/>
      <c r="G45" s="362"/>
      <c r="H45" s="362"/>
      <c r="I45" s="363"/>
      <c r="J45" s="362"/>
      <c r="K45" s="362"/>
      <c r="L45" s="362"/>
      <c r="M45" s="362"/>
      <c r="N45" s="362"/>
      <c r="O45" s="363"/>
      <c r="P45" s="362"/>
      <c r="Q45" s="363"/>
      <c r="R45" s="362"/>
      <c r="S45" s="363"/>
      <c r="T45" s="363"/>
      <c r="U45" s="363"/>
      <c r="V45" s="362"/>
      <c r="W45" s="363"/>
      <c r="X45" s="362"/>
      <c r="Y45" s="363"/>
      <c r="Z45" s="363"/>
      <c r="AA45" s="363"/>
      <c r="AB45" s="363"/>
      <c r="AC45" s="363"/>
    </row>
    <row r="46" spans="1:29" hidden="1">
      <c r="A46" s="18" t="s">
        <v>1051</v>
      </c>
      <c r="B46" s="361"/>
      <c r="C46" s="361"/>
      <c r="D46" s="361"/>
      <c r="E46" s="361"/>
      <c r="F46" s="362"/>
      <c r="G46" s="363"/>
      <c r="H46" s="362"/>
      <c r="I46" s="363"/>
      <c r="J46" s="362"/>
      <c r="K46" s="363"/>
      <c r="L46" s="362"/>
      <c r="M46" s="362"/>
      <c r="N46" s="362"/>
      <c r="O46" s="363"/>
      <c r="P46" s="362"/>
      <c r="Q46" s="363"/>
      <c r="R46" s="362"/>
      <c r="S46" s="363"/>
      <c r="T46" s="362"/>
      <c r="U46" s="363"/>
      <c r="V46" s="362"/>
      <c r="W46" s="363"/>
      <c r="X46" s="362"/>
      <c r="Y46" s="363"/>
      <c r="Z46" s="362"/>
      <c r="AA46" s="363"/>
      <c r="AB46" s="362"/>
      <c r="AC46" s="363"/>
    </row>
    <row r="47" spans="1:29" hidden="1">
      <c r="A47" s="18" t="s">
        <v>1052</v>
      </c>
      <c r="B47" s="361"/>
      <c r="C47" s="361"/>
      <c r="D47" s="361"/>
      <c r="E47" s="361"/>
      <c r="F47" s="362"/>
      <c r="G47" s="363"/>
      <c r="H47" s="362"/>
      <c r="I47" s="363"/>
      <c r="J47" s="362"/>
      <c r="K47" s="363"/>
      <c r="L47" s="362"/>
      <c r="M47" s="362"/>
      <c r="N47" s="362"/>
      <c r="O47" s="363"/>
      <c r="P47" s="362"/>
      <c r="Q47" s="363"/>
      <c r="R47" s="362"/>
      <c r="S47" s="363"/>
      <c r="T47" s="362"/>
      <c r="U47" s="363"/>
      <c r="V47" s="362"/>
      <c r="W47" s="363"/>
      <c r="X47" s="362"/>
      <c r="Y47" s="363"/>
      <c r="Z47" s="362"/>
      <c r="AA47" s="363"/>
      <c r="AB47" s="362"/>
      <c r="AC47" s="363"/>
    </row>
    <row r="48" spans="1:29" hidden="1">
      <c r="A48" s="18" t="s">
        <v>1053</v>
      </c>
      <c r="B48" s="361"/>
      <c r="C48" s="361"/>
      <c r="D48" s="361"/>
      <c r="E48" s="361"/>
      <c r="F48" s="362"/>
      <c r="G48" s="363"/>
      <c r="H48" s="362"/>
      <c r="I48" s="363"/>
      <c r="J48" s="362"/>
      <c r="K48" s="363"/>
      <c r="L48" s="362"/>
      <c r="M48" s="362"/>
      <c r="N48" s="362"/>
      <c r="O48" s="363"/>
      <c r="P48" s="362"/>
      <c r="Q48" s="363"/>
      <c r="R48" s="362"/>
      <c r="S48" s="363"/>
      <c r="T48" s="362"/>
      <c r="U48" s="363"/>
      <c r="V48" s="362"/>
      <c r="W48" s="363"/>
      <c r="X48" s="362"/>
      <c r="Y48" s="363"/>
      <c r="Z48" s="362"/>
      <c r="AA48" s="363"/>
      <c r="AB48" s="362"/>
      <c r="AC48" s="363"/>
    </row>
    <row r="49" spans="1:29" hidden="1">
      <c r="A49" s="18" t="s">
        <v>1054</v>
      </c>
      <c r="B49" s="361"/>
      <c r="C49" s="361"/>
      <c r="D49" s="361"/>
      <c r="E49" s="361"/>
      <c r="F49" s="362"/>
      <c r="G49" s="363"/>
      <c r="H49" s="362"/>
      <c r="I49" s="363"/>
      <c r="J49" s="362"/>
      <c r="K49" s="363"/>
      <c r="L49" s="362"/>
      <c r="M49" s="362"/>
      <c r="N49" s="362"/>
      <c r="O49" s="363"/>
      <c r="P49" s="362"/>
      <c r="Q49" s="363"/>
      <c r="R49" s="362"/>
      <c r="S49" s="363"/>
      <c r="T49" s="362"/>
      <c r="U49" s="363"/>
      <c r="V49" s="362"/>
      <c r="W49" s="363"/>
      <c r="X49" s="362"/>
      <c r="Y49" s="363"/>
      <c r="Z49" s="362"/>
      <c r="AA49" s="363"/>
      <c r="AB49" s="362"/>
      <c r="AC49" s="363"/>
    </row>
    <row r="50" spans="1:29" hidden="1">
      <c r="A50" s="18" t="s">
        <v>1055</v>
      </c>
      <c r="B50" s="361"/>
      <c r="C50" s="361"/>
      <c r="D50" s="361"/>
      <c r="E50" s="361"/>
      <c r="F50" s="362"/>
      <c r="G50" s="363"/>
      <c r="H50" s="362"/>
      <c r="I50" s="363"/>
      <c r="J50" s="362"/>
      <c r="K50" s="363"/>
      <c r="L50" s="362"/>
      <c r="M50" s="362"/>
      <c r="N50" s="362"/>
      <c r="O50" s="363"/>
      <c r="P50" s="362"/>
      <c r="Q50" s="363"/>
      <c r="R50" s="362"/>
      <c r="S50" s="363"/>
      <c r="T50" s="362"/>
      <c r="U50" s="363"/>
      <c r="V50" s="362"/>
      <c r="W50" s="363"/>
      <c r="X50" s="362"/>
      <c r="Y50" s="363"/>
      <c r="Z50" s="362"/>
      <c r="AA50" s="363"/>
      <c r="AB50" s="362"/>
      <c r="AC50" s="363"/>
    </row>
    <row r="51" spans="1:29" hidden="1">
      <c r="A51" s="18" t="s">
        <v>1056</v>
      </c>
      <c r="B51" s="361"/>
      <c r="C51" s="361"/>
      <c r="D51" s="361"/>
      <c r="E51" s="361"/>
      <c r="F51" s="362"/>
      <c r="G51" s="363"/>
      <c r="H51" s="362"/>
      <c r="I51" s="363"/>
      <c r="J51" s="362"/>
      <c r="K51" s="363"/>
      <c r="L51" s="362"/>
      <c r="M51" s="362"/>
      <c r="N51" s="362"/>
      <c r="O51" s="363"/>
      <c r="P51" s="362"/>
      <c r="Q51" s="363"/>
      <c r="R51" s="362"/>
      <c r="S51" s="363"/>
      <c r="T51" s="362"/>
      <c r="U51" s="363"/>
      <c r="V51" s="362"/>
      <c r="W51" s="363"/>
      <c r="X51" s="362"/>
      <c r="Y51" s="363"/>
      <c r="Z51" s="362"/>
      <c r="AA51" s="363"/>
      <c r="AB51" s="362"/>
      <c r="AC51" s="363"/>
    </row>
    <row r="52" spans="1:29" hidden="1">
      <c r="A52" s="15" t="s">
        <v>1057</v>
      </c>
      <c r="B52" s="361"/>
      <c r="C52" s="361"/>
      <c r="D52" s="361"/>
      <c r="E52" s="361"/>
      <c r="F52" s="362"/>
      <c r="G52" s="363"/>
      <c r="H52" s="362"/>
      <c r="I52" s="363"/>
      <c r="J52" s="362"/>
      <c r="K52" s="363"/>
      <c r="L52" s="362"/>
      <c r="M52" s="362"/>
      <c r="N52" s="362"/>
      <c r="O52" s="363"/>
      <c r="P52" s="362"/>
      <c r="Q52" s="363"/>
      <c r="R52" s="362"/>
      <c r="S52" s="363"/>
      <c r="T52" s="362"/>
      <c r="U52" s="363"/>
      <c r="V52" s="362"/>
      <c r="W52" s="363"/>
      <c r="X52" s="362"/>
      <c r="Y52" s="363"/>
      <c r="Z52" s="362"/>
      <c r="AA52" s="363"/>
      <c r="AB52" s="362"/>
      <c r="AC52" s="363"/>
    </row>
    <row r="53" spans="1:29" hidden="1">
      <c r="A53" s="368"/>
      <c r="B53" s="361"/>
      <c r="C53" s="361"/>
      <c r="D53" s="361"/>
      <c r="E53" s="361"/>
      <c r="F53" s="362"/>
      <c r="G53" s="363"/>
      <c r="H53" s="362"/>
      <c r="I53" s="363"/>
      <c r="J53" s="362"/>
      <c r="K53" s="362"/>
      <c r="L53" s="362"/>
      <c r="M53" s="362"/>
      <c r="N53" s="362"/>
      <c r="O53" s="363"/>
      <c r="P53" s="362"/>
      <c r="Q53" s="363"/>
      <c r="R53" s="362"/>
      <c r="S53" s="363"/>
      <c r="T53" s="362"/>
      <c r="U53" s="363"/>
      <c r="V53" s="362"/>
      <c r="W53" s="363"/>
      <c r="X53" s="362"/>
      <c r="Y53" s="363"/>
      <c r="Z53" s="362"/>
      <c r="AA53" s="363"/>
      <c r="AB53" s="362"/>
      <c r="AC53" s="363"/>
    </row>
    <row r="54" spans="1:29" hidden="1">
      <c r="A54" s="15" t="s">
        <v>1058</v>
      </c>
      <c r="B54" s="362"/>
      <c r="C54" s="362"/>
      <c r="D54" s="362"/>
      <c r="E54" s="362"/>
      <c r="F54" s="362"/>
      <c r="G54" s="362"/>
      <c r="H54" s="362"/>
      <c r="I54" s="363"/>
      <c r="J54" s="362"/>
      <c r="K54" s="362"/>
      <c r="L54" s="362"/>
      <c r="M54" s="362"/>
      <c r="N54" s="362"/>
      <c r="O54" s="363"/>
      <c r="P54" s="362"/>
      <c r="Q54" s="363"/>
      <c r="R54" s="362"/>
      <c r="S54" s="363"/>
      <c r="T54" s="363"/>
      <c r="U54" s="363"/>
      <c r="V54" s="362"/>
      <c r="W54" s="363"/>
      <c r="X54" s="362"/>
      <c r="Y54" s="363"/>
      <c r="Z54" s="363"/>
      <c r="AA54" s="363"/>
      <c r="AB54" s="363"/>
      <c r="AC54" s="363"/>
    </row>
    <row r="55" spans="1:29" hidden="1">
      <c r="A55" s="366" t="s">
        <v>1059</v>
      </c>
      <c r="B55" s="361"/>
      <c r="C55" s="361"/>
      <c r="D55" s="361"/>
      <c r="E55" s="361"/>
      <c r="F55" s="362"/>
      <c r="G55" s="362"/>
      <c r="H55" s="362"/>
      <c r="I55" s="363"/>
      <c r="J55" s="362"/>
      <c r="K55" s="363"/>
      <c r="L55" s="362"/>
      <c r="M55" s="362"/>
      <c r="N55" s="362"/>
      <c r="O55" s="363"/>
      <c r="P55" s="362"/>
      <c r="Q55" s="363"/>
      <c r="R55" s="362"/>
      <c r="S55" s="363"/>
      <c r="T55" s="362"/>
      <c r="U55" s="363"/>
      <c r="V55" s="362"/>
      <c r="W55" s="363"/>
      <c r="X55" s="362"/>
      <c r="Y55" s="363"/>
      <c r="Z55" s="362"/>
      <c r="AA55" s="363"/>
      <c r="AB55" s="362"/>
      <c r="AC55" s="363"/>
    </row>
    <row r="56" spans="1:29" hidden="1">
      <c r="A56" s="274" t="s">
        <v>1060</v>
      </c>
      <c r="B56" s="361"/>
      <c r="C56" s="361"/>
      <c r="D56" s="361"/>
      <c r="E56" s="361"/>
      <c r="F56" s="362"/>
      <c r="G56" s="363"/>
      <c r="H56" s="362"/>
      <c r="I56" s="363"/>
      <c r="J56" s="362"/>
      <c r="K56" s="363"/>
      <c r="L56" s="362"/>
      <c r="M56" s="362"/>
      <c r="N56" s="362"/>
      <c r="O56" s="363"/>
      <c r="P56" s="362"/>
      <c r="Q56" s="363"/>
      <c r="R56" s="362"/>
      <c r="S56" s="363"/>
      <c r="T56" s="362"/>
      <c r="U56" s="363"/>
      <c r="V56" s="362"/>
      <c r="W56" s="363"/>
      <c r="X56" s="362"/>
      <c r="Y56" s="363"/>
      <c r="Z56" s="362"/>
      <c r="AA56" s="363"/>
      <c r="AB56" s="362"/>
      <c r="AC56" s="363"/>
    </row>
    <row r="57" spans="1:29" hidden="1">
      <c r="A57" s="274" t="s">
        <v>1061</v>
      </c>
      <c r="B57" s="361"/>
      <c r="C57" s="361"/>
      <c r="D57" s="361"/>
      <c r="E57" s="361"/>
      <c r="F57" s="362"/>
      <c r="G57" s="363"/>
      <c r="H57" s="362"/>
      <c r="I57" s="363"/>
      <c r="J57" s="362"/>
      <c r="K57" s="363"/>
      <c r="L57" s="362"/>
      <c r="M57" s="362"/>
      <c r="N57" s="362"/>
      <c r="O57" s="363"/>
      <c r="P57" s="362"/>
      <c r="Q57" s="363"/>
      <c r="R57" s="362"/>
      <c r="S57" s="363"/>
      <c r="T57" s="362"/>
      <c r="U57" s="363"/>
      <c r="V57" s="362"/>
      <c r="W57" s="363"/>
      <c r="X57" s="362"/>
      <c r="Y57" s="363"/>
      <c r="Z57" s="362"/>
      <c r="AA57" s="363"/>
      <c r="AB57" s="362"/>
      <c r="AC57" s="363"/>
    </row>
    <row r="58" spans="1:29" hidden="1">
      <c r="A58" s="274" t="s">
        <v>1062</v>
      </c>
      <c r="B58" s="361"/>
      <c r="C58" s="361"/>
      <c r="D58" s="361"/>
      <c r="E58" s="361"/>
      <c r="F58" s="362"/>
      <c r="G58" s="363"/>
      <c r="H58" s="362"/>
      <c r="I58" s="363"/>
      <c r="J58" s="362"/>
      <c r="K58" s="363"/>
      <c r="L58" s="362"/>
      <c r="M58" s="362"/>
      <c r="N58" s="362"/>
      <c r="O58" s="363"/>
      <c r="P58" s="362"/>
      <c r="Q58" s="363"/>
      <c r="R58" s="362"/>
      <c r="S58" s="363"/>
      <c r="T58" s="362"/>
      <c r="U58" s="363"/>
      <c r="V58" s="362"/>
      <c r="W58" s="363"/>
      <c r="X58" s="362"/>
      <c r="Y58" s="363"/>
      <c r="Z58" s="362"/>
      <c r="AA58" s="363"/>
      <c r="AB58" s="362"/>
      <c r="AC58" s="363"/>
    </row>
    <row r="59" spans="1:29" hidden="1">
      <c r="A59" s="366" t="s">
        <v>1063</v>
      </c>
      <c r="B59" s="361"/>
      <c r="C59" s="361"/>
      <c r="D59" s="361"/>
      <c r="E59" s="361"/>
      <c r="F59" s="362"/>
      <c r="G59" s="363"/>
      <c r="H59" s="362"/>
      <c r="I59" s="363"/>
      <c r="J59" s="362"/>
      <c r="K59" s="363"/>
      <c r="L59" s="362"/>
      <c r="M59" s="362"/>
      <c r="N59" s="362"/>
      <c r="O59" s="363"/>
      <c r="P59" s="362"/>
      <c r="Q59" s="363"/>
      <c r="R59" s="362"/>
      <c r="S59" s="363"/>
      <c r="T59" s="362"/>
      <c r="U59" s="363"/>
      <c r="V59" s="362"/>
      <c r="W59" s="363"/>
      <c r="X59" s="362"/>
      <c r="Y59" s="363"/>
      <c r="Z59" s="362"/>
      <c r="AA59" s="363"/>
      <c r="AB59" s="362"/>
      <c r="AC59" s="363"/>
    </row>
    <row r="60" spans="1:29" hidden="1">
      <c r="A60" s="274" t="s">
        <v>1064</v>
      </c>
      <c r="B60" s="361"/>
      <c r="C60" s="361"/>
      <c r="D60" s="361"/>
      <c r="E60" s="361"/>
      <c r="F60" s="362"/>
      <c r="G60" s="363"/>
      <c r="H60" s="362"/>
      <c r="I60" s="363"/>
      <c r="J60" s="362"/>
      <c r="K60" s="363"/>
      <c r="L60" s="362"/>
      <c r="M60" s="362"/>
      <c r="N60" s="362"/>
      <c r="O60" s="363"/>
      <c r="P60" s="362"/>
      <c r="Q60" s="363"/>
      <c r="R60" s="362"/>
      <c r="S60" s="363"/>
      <c r="T60" s="362"/>
      <c r="U60" s="363"/>
      <c r="V60" s="362"/>
      <c r="W60" s="363"/>
      <c r="X60" s="362"/>
      <c r="Y60" s="363"/>
      <c r="Z60" s="362"/>
      <c r="AA60" s="363"/>
      <c r="AB60" s="362"/>
      <c r="AC60" s="363"/>
    </row>
    <row r="61" spans="1:29" hidden="1">
      <c r="A61" s="274" t="s">
        <v>1065</v>
      </c>
      <c r="B61" s="361"/>
      <c r="C61" s="361"/>
      <c r="D61" s="361"/>
      <c r="E61" s="361"/>
      <c r="F61" s="362"/>
      <c r="G61" s="363"/>
      <c r="H61" s="362"/>
      <c r="I61" s="363"/>
      <c r="J61" s="362"/>
      <c r="K61" s="363"/>
      <c r="L61" s="362"/>
      <c r="M61" s="362"/>
      <c r="N61" s="362"/>
      <c r="O61" s="363"/>
      <c r="P61" s="362"/>
      <c r="Q61" s="363"/>
      <c r="R61" s="362"/>
      <c r="S61" s="363"/>
      <c r="T61" s="362"/>
      <c r="U61" s="363"/>
      <c r="V61" s="362"/>
      <c r="W61" s="363"/>
      <c r="X61" s="362"/>
      <c r="Y61" s="363"/>
      <c r="Z61" s="362"/>
      <c r="AA61" s="363"/>
      <c r="AB61" s="362"/>
      <c r="AC61" s="363"/>
    </row>
    <row r="62" spans="1:29" hidden="1">
      <c r="A62" s="274"/>
      <c r="B62" s="361"/>
      <c r="C62" s="361"/>
      <c r="D62" s="361"/>
      <c r="E62" s="361"/>
      <c r="F62" s="362"/>
      <c r="G62" s="363"/>
      <c r="H62" s="362"/>
      <c r="I62" s="363"/>
      <c r="J62" s="362"/>
      <c r="K62" s="363"/>
      <c r="L62" s="362"/>
      <c r="M62" s="362"/>
      <c r="N62" s="362"/>
      <c r="O62" s="363"/>
      <c r="P62" s="362"/>
      <c r="Q62" s="363"/>
      <c r="R62" s="362"/>
      <c r="S62" s="363"/>
      <c r="T62" s="362"/>
      <c r="U62" s="363"/>
      <c r="V62" s="362"/>
      <c r="W62" s="363"/>
      <c r="X62" s="362"/>
      <c r="Y62" s="363"/>
      <c r="Z62" s="362"/>
      <c r="AA62" s="363"/>
      <c r="AB62" s="362"/>
      <c r="AC62" s="363"/>
    </row>
    <row r="63" spans="1:29" hidden="1">
      <c r="A63" s="15" t="s">
        <v>1066</v>
      </c>
      <c r="B63" s="361"/>
      <c r="C63" s="361"/>
      <c r="D63" s="361"/>
      <c r="E63" s="361"/>
      <c r="F63" s="362"/>
      <c r="G63" s="363"/>
      <c r="H63" s="362"/>
      <c r="I63" s="363"/>
      <c r="J63" s="362"/>
      <c r="K63" s="363"/>
      <c r="L63" s="362"/>
      <c r="M63" s="362"/>
      <c r="N63" s="362"/>
      <c r="O63" s="363"/>
      <c r="P63" s="362"/>
      <c r="Q63" s="363"/>
      <c r="R63" s="362"/>
      <c r="S63" s="363"/>
      <c r="T63" s="362"/>
      <c r="U63" s="363"/>
      <c r="V63" s="362"/>
      <c r="W63" s="363"/>
      <c r="X63" s="362"/>
      <c r="Y63" s="363"/>
      <c r="Z63" s="362"/>
      <c r="AA63" s="363"/>
      <c r="AB63" s="362"/>
      <c r="AC63" s="363"/>
    </row>
    <row r="64" spans="1:29" hidden="1">
      <c r="A64" s="368"/>
      <c r="B64" s="361"/>
      <c r="C64" s="361"/>
      <c r="D64" s="361"/>
      <c r="E64" s="361"/>
      <c r="F64" s="362"/>
      <c r="G64" s="363"/>
      <c r="H64" s="362"/>
      <c r="I64" s="362"/>
      <c r="J64" s="362"/>
      <c r="K64" s="363"/>
      <c r="L64" s="362"/>
      <c r="M64" s="362"/>
      <c r="N64" s="362"/>
      <c r="O64" s="363"/>
      <c r="P64" s="362"/>
      <c r="Q64" s="363"/>
      <c r="R64" s="362"/>
      <c r="S64" s="363"/>
      <c r="T64" s="362"/>
      <c r="U64" s="363"/>
      <c r="V64" s="362"/>
      <c r="W64" s="363"/>
      <c r="X64" s="362"/>
      <c r="Y64" s="363"/>
      <c r="Z64" s="362"/>
      <c r="AA64" s="363"/>
      <c r="AB64" s="362"/>
      <c r="AC64" s="363"/>
    </row>
    <row r="65" spans="1:29" hidden="1">
      <c r="A65" s="15" t="s">
        <v>1067</v>
      </c>
      <c r="B65" s="362"/>
      <c r="C65" s="362"/>
      <c r="D65" s="362"/>
      <c r="E65" s="362"/>
      <c r="F65" s="362"/>
      <c r="G65" s="362"/>
      <c r="H65" s="362"/>
      <c r="I65" s="362"/>
      <c r="J65" s="362"/>
      <c r="K65" s="363"/>
      <c r="L65" s="362"/>
      <c r="M65" s="362"/>
      <c r="N65" s="362"/>
      <c r="O65" s="363"/>
      <c r="P65" s="362"/>
      <c r="Q65" s="363"/>
      <c r="R65" s="362"/>
      <c r="S65" s="363"/>
      <c r="T65" s="363"/>
      <c r="U65" s="363"/>
      <c r="V65" s="362"/>
      <c r="W65" s="363"/>
      <c r="X65" s="362"/>
      <c r="Y65" s="363"/>
      <c r="Z65" s="363"/>
      <c r="AA65" s="363"/>
      <c r="AB65" s="363"/>
      <c r="AC65" s="363"/>
    </row>
    <row r="66" spans="1:29" hidden="1">
      <c r="A66" s="18" t="s">
        <v>1068</v>
      </c>
      <c r="B66" s="361"/>
      <c r="C66" s="361"/>
      <c r="D66" s="361"/>
      <c r="E66" s="361"/>
      <c r="F66" s="362"/>
      <c r="G66" s="363"/>
      <c r="H66" s="362"/>
      <c r="I66" s="363"/>
      <c r="J66" s="362"/>
      <c r="K66" s="363"/>
      <c r="L66" s="362"/>
      <c r="M66" s="362"/>
      <c r="N66" s="362"/>
      <c r="O66" s="363"/>
      <c r="P66" s="362"/>
      <c r="Q66" s="363"/>
      <c r="R66" s="362"/>
      <c r="S66" s="363"/>
      <c r="T66" s="362"/>
      <c r="U66" s="363"/>
      <c r="V66" s="362"/>
      <c r="W66" s="363"/>
      <c r="X66" s="362"/>
      <c r="Y66" s="363"/>
      <c r="Z66" s="362"/>
      <c r="AA66" s="363"/>
      <c r="AB66" s="362"/>
      <c r="AC66" s="363"/>
    </row>
    <row r="67" spans="1:29" hidden="1">
      <c r="A67" s="18" t="s">
        <v>1069</v>
      </c>
      <c r="B67" s="361"/>
      <c r="C67" s="361"/>
      <c r="D67" s="361"/>
      <c r="E67" s="361"/>
      <c r="F67" s="362"/>
      <c r="G67" s="363"/>
      <c r="H67" s="362"/>
      <c r="I67" s="363"/>
      <c r="J67" s="362"/>
      <c r="K67" s="363"/>
      <c r="L67" s="362"/>
      <c r="M67" s="362"/>
      <c r="N67" s="362"/>
      <c r="O67" s="363"/>
      <c r="P67" s="362"/>
      <c r="Q67" s="363"/>
      <c r="R67" s="362"/>
      <c r="S67" s="363"/>
      <c r="T67" s="362"/>
      <c r="U67" s="363"/>
      <c r="V67" s="362"/>
      <c r="W67" s="363"/>
      <c r="X67" s="362"/>
      <c r="Y67" s="363"/>
      <c r="Z67" s="362"/>
      <c r="AA67" s="363"/>
      <c r="AB67" s="362"/>
      <c r="AC67" s="363"/>
    </row>
    <row r="68" spans="1:29" hidden="1">
      <c r="A68" s="18" t="s">
        <v>1070</v>
      </c>
      <c r="B68" s="361"/>
      <c r="C68" s="361"/>
      <c r="D68" s="361"/>
      <c r="E68" s="361"/>
      <c r="F68" s="362"/>
      <c r="G68" s="363"/>
      <c r="H68" s="362"/>
      <c r="I68" s="363"/>
      <c r="J68" s="362"/>
      <c r="K68" s="363"/>
      <c r="L68" s="362"/>
      <c r="M68" s="362"/>
      <c r="N68" s="362"/>
      <c r="O68" s="363"/>
      <c r="P68" s="362"/>
      <c r="Q68" s="363"/>
      <c r="R68" s="362"/>
      <c r="S68" s="363"/>
      <c r="T68" s="362"/>
      <c r="U68" s="363"/>
      <c r="V68" s="362"/>
      <c r="W68" s="363"/>
      <c r="X68" s="362"/>
      <c r="Y68" s="363"/>
      <c r="Z68" s="362"/>
      <c r="AA68" s="363"/>
      <c r="AB68" s="362"/>
      <c r="AC68" s="363"/>
    </row>
    <row r="69" spans="1:29" hidden="1">
      <c r="A69" s="369" t="s">
        <v>1071</v>
      </c>
      <c r="B69" s="361"/>
      <c r="C69" s="361"/>
      <c r="D69" s="361"/>
      <c r="E69" s="361"/>
      <c r="F69" s="362"/>
      <c r="G69" s="363"/>
      <c r="H69" s="362"/>
      <c r="I69" s="363"/>
      <c r="J69" s="362"/>
      <c r="K69" s="363"/>
      <c r="L69" s="362"/>
      <c r="M69" s="362"/>
      <c r="N69" s="362"/>
      <c r="O69" s="363"/>
      <c r="P69" s="362"/>
      <c r="Q69" s="363"/>
      <c r="R69" s="362"/>
      <c r="S69" s="363"/>
      <c r="T69" s="362"/>
      <c r="U69" s="363"/>
      <c r="V69" s="362"/>
      <c r="W69" s="363"/>
      <c r="X69" s="362"/>
      <c r="Y69" s="363"/>
      <c r="Z69" s="362"/>
      <c r="AA69" s="363"/>
      <c r="AB69" s="362"/>
      <c r="AC69" s="363"/>
    </row>
    <row r="70" spans="1:29" hidden="1">
      <c r="A70" s="18"/>
      <c r="B70" s="361"/>
      <c r="C70" s="361"/>
      <c r="D70" s="361"/>
      <c r="E70" s="361"/>
      <c r="F70" s="362"/>
      <c r="G70" s="363"/>
      <c r="H70" s="362"/>
      <c r="I70" s="362"/>
      <c r="J70" s="362"/>
      <c r="K70" s="362"/>
      <c r="L70" s="362"/>
      <c r="M70" s="362"/>
      <c r="N70" s="362"/>
      <c r="O70" s="363"/>
      <c r="P70" s="362"/>
      <c r="Q70" s="363"/>
      <c r="R70" s="362"/>
      <c r="S70" s="363"/>
      <c r="T70" s="362"/>
      <c r="U70" s="363"/>
      <c r="V70" s="362"/>
      <c r="W70" s="363"/>
      <c r="X70" s="362"/>
      <c r="Y70" s="363"/>
      <c r="Z70" s="362"/>
      <c r="AA70" s="363"/>
      <c r="AB70" s="362"/>
      <c r="AC70" s="363"/>
    </row>
    <row r="71" spans="1:29" hidden="1">
      <c r="A71" s="15" t="s">
        <v>1072</v>
      </c>
      <c r="B71" s="362"/>
      <c r="C71" s="362"/>
      <c r="D71" s="362"/>
      <c r="E71" s="362"/>
      <c r="F71" s="362"/>
      <c r="G71" s="362"/>
      <c r="H71" s="362"/>
      <c r="I71" s="362"/>
      <c r="J71" s="362"/>
      <c r="K71" s="362"/>
      <c r="L71" s="362"/>
      <c r="M71" s="362"/>
      <c r="N71" s="362"/>
      <c r="O71" s="363"/>
      <c r="P71" s="362"/>
      <c r="Q71" s="363"/>
      <c r="R71" s="362"/>
      <c r="S71" s="363"/>
      <c r="T71" s="363"/>
      <c r="U71" s="363"/>
      <c r="V71" s="362"/>
      <c r="W71" s="363"/>
      <c r="X71" s="362"/>
      <c r="Y71" s="363"/>
      <c r="Z71" s="363"/>
      <c r="AA71" s="363"/>
      <c r="AB71" s="363"/>
      <c r="AC71" s="363"/>
    </row>
    <row r="72" spans="1:29" hidden="1">
      <c r="A72" s="369" t="s">
        <v>1073</v>
      </c>
      <c r="B72" s="361"/>
      <c r="C72" s="361"/>
      <c r="D72" s="361"/>
      <c r="E72" s="361"/>
      <c r="F72" s="362"/>
      <c r="G72" s="363"/>
      <c r="H72" s="362"/>
      <c r="I72" s="363"/>
      <c r="J72" s="362"/>
      <c r="K72" s="363"/>
      <c r="L72" s="362"/>
      <c r="M72" s="362"/>
      <c r="N72" s="362"/>
      <c r="O72" s="363"/>
      <c r="P72" s="362"/>
      <c r="Q72" s="363"/>
      <c r="R72" s="362"/>
      <c r="S72" s="363"/>
      <c r="T72" s="362"/>
      <c r="U72" s="363"/>
      <c r="V72" s="362"/>
      <c r="W72" s="363"/>
      <c r="X72" s="362"/>
      <c r="Y72" s="363"/>
      <c r="Z72" s="362"/>
      <c r="AA72" s="363"/>
      <c r="AB72" s="362"/>
      <c r="AC72" s="363"/>
    </row>
    <row r="73" spans="1:29" hidden="1">
      <c r="A73" s="18" t="s">
        <v>1074</v>
      </c>
      <c r="B73" s="361"/>
      <c r="C73" s="361"/>
      <c r="D73" s="361"/>
      <c r="E73" s="361"/>
      <c r="F73" s="362"/>
      <c r="G73" s="363"/>
      <c r="H73" s="362"/>
      <c r="I73" s="363"/>
      <c r="J73" s="362"/>
      <c r="K73" s="363"/>
      <c r="L73" s="362"/>
      <c r="M73" s="362"/>
      <c r="N73" s="362"/>
      <c r="O73" s="363"/>
      <c r="P73" s="362"/>
      <c r="Q73" s="363"/>
      <c r="R73" s="362"/>
      <c r="S73" s="363"/>
      <c r="T73" s="362"/>
      <c r="U73" s="363"/>
      <c r="V73" s="362"/>
      <c r="W73" s="363"/>
      <c r="X73" s="362"/>
      <c r="Y73" s="363"/>
      <c r="Z73" s="362"/>
      <c r="AA73" s="363"/>
      <c r="AB73" s="362"/>
      <c r="AC73" s="363"/>
    </row>
    <row r="74" spans="1:29" hidden="1">
      <c r="A74" s="18" t="s">
        <v>1075</v>
      </c>
      <c r="B74" s="361"/>
      <c r="C74" s="361"/>
      <c r="D74" s="361"/>
      <c r="E74" s="361"/>
      <c r="F74" s="362"/>
      <c r="G74" s="363"/>
      <c r="H74" s="362"/>
      <c r="I74" s="363"/>
      <c r="J74" s="362"/>
      <c r="K74" s="363"/>
      <c r="L74" s="362"/>
      <c r="M74" s="362"/>
      <c r="N74" s="362"/>
      <c r="O74" s="363"/>
      <c r="P74" s="362"/>
      <c r="Q74" s="363"/>
      <c r="R74" s="362"/>
      <c r="S74" s="363"/>
      <c r="T74" s="362"/>
      <c r="U74" s="363"/>
      <c r="V74" s="362"/>
      <c r="W74" s="363"/>
      <c r="X74" s="362"/>
      <c r="Y74" s="363"/>
      <c r="Z74" s="362"/>
      <c r="AA74" s="363"/>
      <c r="AB74" s="362"/>
      <c r="AC74" s="363"/>
    </row>
    <row r="75" spans="1:29" hidden="1">
      <c r="A75" s="18" t="s">
        <v>1076</v>
      </c>
      <c r="B75" s="361"/>
      <c r="C75" s="361"/>
      <c r="D75" s="361"/>
      <c r="E75" s="361"/>
      <c r="F75" s="362"/>
      <c r="G75" s="363"/>
      <c r="H75" s="362"/>
      <c r="I75" s="363"/>
      <c r="J75" s="362"/>
      <c r="K75" s="363"/>
      <c r="L75" s="362"/>
      <c r="M75" s="362"/>
      <c r="N75" s="362"/>
      <c r="O75" s="363"/>
      <c r="P75" s="362"/>
      <c r="Q75" s="363"/>
      <c r="R75" s="362"/>
      <c r="S75" s="363"/>
      <c r="T75" s="362"/>
      <c r="U75" s="363"/>
      <c r="V75" s="362"/>
      <c r="W75" s="363"/>
      <c r="X75" s="362"/>
      <c r="Y75" s="363"/>
      <c r="Z75" s="362"/>
      <c r="AA75" s="363"/>
      <c r="AB75" s="362"/>
      <c r="AC75" s="363"/>
    </row>
    <row r="76" spans="1:29" hidden="1">
      <c r="A76" s="369" t="s">
        <v>1077</v>
      </c>
      <c r="B76" s="361"/>
      <c r="C76" s="361"/>
      <c r="D76" s="361"/>
      <c r="E76" s="361"/>
      <c r="F76" s="362"/>
      <c r="G76" s="363"/>
      <c r="H76" s="362"/>
      <c r="I76" s="363"/>
      <c r="J76" s="362"/>
      <c r="K76" s="363"/>
      <c r="L76" s="362"/>
      <c r="M76" s="362"/>
      <c r="N76" s="362"/>
      <c r="O76" s="363"/>
      <c r="P76" s="362"/>
      <c r="Q76" s="363"/>
      <c r="R76" s="362"/>
      <c r="S76" s="363"/>
      <c r="T76" s="362"/>
      <c r="U76" s="363"/>
      <c r="V76" s="362"/>
      <c r="W76" s="363"/>
      <c r="X76" s="362"/>
      <c r="Y76" s="363"/>
      <c r="Z76" s="362"/>
      <c r="AA76" s="363"/>
      <c r="AB76" s="362"/>
      <c r="AC76" s="363"/>
    </row>
    <row r="77" spans="1:29" hidden="1">
      <c r="A77" s="18" t="s">
        <v>1078</v>
      </c>
      <c r="B77" s="361"/>
      <c r="C77" s="361"/>
      <c r="D77" s="361"/>
      <c r="E77" s="361"/>
      <c r="F77" s="362"/>
      <c r="G77" s="363"/>
      <c r="H77" s="362"/>
      <c r="I77" s="363"/>
      <c r="J77" s="362"/>
      <c r="K77" s="363"/>
      <c r="L77" s="362"/>
      <c r="M77" s="362"/>
      <c r="N77" s="362"/>
      <c r="O77" s="363"/>
      <c r="P77" s="362"/>
      <c r="Q77" s="363"/>
      <c r="R77" s="362"/>
      <c r="S77" s="363"/>
      <c r="T77" s="362"/>
      <c r="U77" s="363"/>
      <c r="V77" s="362"/>
      <c r="W77" s="363"/>
      <c r="X77" s="362"/>
      <c r="Y77" s="363"/>
      <c r="Z77" s="362"/>
      <c r="AA77" s="363"/>
      <c r="AB77" s="362"/>
      <c r="AC77" s="363"/>
    </row>
    <row r="78" spans="1:29" hidden="1">
      <c r="A78" s="18" t="s">
        <v>1079</v>
      </c>
      <c r="B78" s="361"/>
      <c r="C78" s="361"/>
      <c r="D78" s="361"/>
      <c r="E78" s="361"/>
      <c r="F78" s="362"/>
      <c r="G78" s="363"/>
      <c r="H78" s="362"/>
      <c r="I78" s="363"/>
      <c r="J78" s="362"/>
      <c r="K78" s="363"/>
      <c r="L78" s="362"/>
      <c r="M78" s="362"/>
      <c r="N78" s="362"/>
      <c r="O78" s="363"/>
      <c r="P78" s="362"/>
      <c r="Q78" s="363"/>
      <c r="R78" s="362"/>
      <c r="S78" s="363"/>
      <c r="T78" s="362"/>
      <c r="U78" s="363"/>
      <c r="V78" s="362"/>
      <c r="W78" s="363"/>
      <c r="X78" s="362"/>
      <c r="Y78" s="363"/>
      <c r="Z78" s="362"/>
      <c r="AA78" s="363"/>
      <c r="AB78" s="362"/>
      <c r="AC78" s="363"/>
    </row>
    <row r="79" spans="1:29" hidden="1">
      <c r="A79" s="18" t="s">
        <v>1080</v>
      </c>
      <c r="B79" s="361"/>
      <c r="C79" s="361"/>
      <c r="D79" s="361"/>
      <c r="E79" s="361"/>
      <c r="F79" s="362"/>
      <c r="G79" s="363"/>
      <c r="H79" s="362"/>
      <c r="I79" s="363"/>
      <c r="J79" s="362"/>
      <c r="K79" s="363"/>
      <c r="L79" s="362"/>
      <c r="M79" s="362"/>
      <c r="N79" s="362"/>
      <c r="O79" s="363"/>
      <c r="P79" s="362"/>
      <c r="Q79" s="363"/>
      <c r="R79" s="362"/>
      <c r="S79" s="363"/>
      <c r="T79" s="362"/>
      <c r="U79" s="363"/>
      <c r="V79" s="362"/>
      <c r="W79" s="363"/>
      <c r="X79" s="362"/>
      <c r="Y79" s="363"/>
      <c r="Z79" s="362"/>
      <c r="AA79" s="363"/>
      <c r="AB79" s="362"/>
      <c r="AC79" s="363"/>
    </row>
    <row r="80" spans="1:29" hidden="1">
      <c r="A80" s="369" t="s">
        <v>1081</v>
      </c>
      <c r="B80" s="361"/>
      <c r="C80" s="361"/>
      <c r="D80" s="361"/>
      <c r="E80" s="361"/>
      <c r="F80" s="362"/>
      <c r="G80" s="363"/>
      <c r="H80" s="362"/>
      <c r="I80" s="363"/>
      <c r="J80" s="362"/>
      <c r="K80" s="363"/>
      <c r="L80" s="362"/>
      <c r="M80" s="362"/>
      <c r="N80" s="362"/>
      <c r="O80" s="363"/>
      <c r="P80" s="362"/>
      <c r="Q80" s="363"/>
      <c r="R80" s="362"/>
      <c r="S80" s="363"/>
      <c r="T80" s="362"/>
      <c r="U80" s="363"/>
      <c r="V80" s="362"/>
      <c r="W80" s="363"/>
      <c r="X80" s="362"/>
      <c r="Y80" s="363"/>
      <c r="Z80" s="362"/>
      <c r="AA80" s="363"/>
      <c r="AB80" s="362"/>
      <c r="AC80" s="363"/>
    </row>
    <row r="81" spans="1:29" hidden="1">
      <c r="A81" s="18" t="s">
        <v>1082</v>
      </c>
      <c r="B81" s="361"/>
      <c r="C81" s="361"/>
      <c r="D81" s="361"/>
      <c r="E81" s="361"/>
      <c r="F81" s="362"/>
      <c r="G81" s="363"/>
      <c r="H81" s="362"/>
      <c r="I81" s="363"/>
      <c r="J81" s="362"/>
      <c r="K81" s="363"/>
      <c r="L81" s="362"/>
      <c r="M81" s="362"/>
      <c r="N81" s="362"/>
      <c r="O81" s="363"/>
      <c r="P81" s="362"/>
      <c r="Q81" s="363"/>
      <c r="R81" s="362"/>
      <c r="S81" s="363"/>
      <c r="T81" s="362"/>
      <c r="U81" s="363"/>
      <c r="V81" s="362"/>
      <c r="W81" s="363"/>
      <c r="X81" s="362"/>
      <c r="Y81" s="363"/>
      <c r="Z81" s="362"/>
      <c r="AA81" s="363"/>
      <c r="AB81" s="362"/>
      <c r="AC81" s="363"/>
    </row>
    <row r="82" spans="1:29" hidden="1">
      <c r="A82" s="18" t="s">
        <v>1083</v>
      </c>
      <c r="B82" s="361"/>
      <c r="C82" s="361"/>
      <c r="D82" s="361"/>
      <c r="E82" s="361"/>
      <c r="F82" s="362"/>
      <c r="G82" s="363"/>
      <c r="H82" s="362"/>
      <c r="I82" s="363"/>
      <c r="J82" s="362"/>
      <c r="K82" s="363"/>
      <c r="L82" s="362"/>
      <c r="M82" s="362"/>
      <c r="N82" s="362"/>
      <c r="O82" s="363"/>
      <c r="P82" s="362"/>
      <c r="Q82" s="363"/>
      <c r="R82" s="362"/>
      <c r="S82" s="363"/>
      <c r="T82" s="362"/>
      <c r="U82" s="363"/>
      <c r="V82" s="362"/>
      <c r="W82" s="363"/>
      <c r="X82" s="362"/>
      <c r="Y82" s="363"/>
      <c r="Z82" s="362"/>
      <c r="AA82" s="363"/>
      <c r="AB82" s="362"/>
      <c r="AC82" s="363"/>
    </row>
    <row r="83" spans="1:29" hidden="1">
      <c r="A83" s="18" t="s">
        <v>1084</v>
      </c>
      <c r="B83" s="361"/>
      <c r="C83" s="361"/>
      <c r="D83" s="361"/>
      <c r="E83" s="361"/>
      <c r="F83" s="362"/>
      <c r="G83" s="363"/>
      <c r="H83" s="362"/>
      <c r="I83" s="363"/>
      <c r="J83" s="362"/>
      <c r="K83" s="363"/>
      <c r="L83" s="362"/>
      <c r="M83" s="362"/>
      <c r="N83" s="362"/>
      <c r="O83" s="363"/>
      <c r="P83" s="362"/>
      <c r="Q83" s="363"/>
      <c r="R83" s="362"/>
      <c r="S83" s="363"/>
      <c r="T83" s="362"/>
      <c r="U83" s="363"/>
      <c r="V83" s="362"/>
      <c r="W83" s="363"/>
      <c r="X83" s="362"/>
      <c r="Y83" s="363"/>
      <c r="Z83" s="362"/>
      <c r="AA83" s="363"/>
      <c r="AB83" s="362"/>
      <c r="AC83" s="363"/>
    </row>
    <row r="84" spans="1:29" hidden="1">
      <c r="A84" s="369" t="s">
        <v>1085</v>
      </c>
      <c r="B84" s="361"/>
      <c r="C84" s="361"/>
      <c r="D84" s="361"/>
      <c r="E84" s="361"/>
      <c r="F84" s="362"/>
      <c r="G84" s="363"/>
      <c r="H84" s="362"/>
      <c r="I84" s="363"/>
      <c r="J84" s="362"/>
      <c r="K84" s="363"/>
      <c r="L84" s="362"/>
      <c r="M84" s="362"/>
      <c r="N84" s="362"/>
      <c r="O84" s="363"/>
      <c r="P84" s="362"/>
      <c r="Q84" s="363"/>
      <c r="R84" s="362"/>
      <c r="S84" s="363"/>
      <c r="T84" s="362"/>
      <c r="U84" s="363"/>
      <c r="V84" s="362"/>
      <c r="W84" s="363"/>
      <c r="X84" s="362"/>
      <c r="Y84" s="363"/>
      <c r="Z84" s="362"/>
      <c r="AA84" s="363"/>
      <c r="AB84" s="362"/>
      <c r="AC84" s="363"/>
    </row>
    <row r="85" spans="1:29" hidden="1">
      <c r="A85" s="18" t="s">
        <v>1086</v>
      </c>
      <c r="B85" s="361"/>
      <c r="C85" s="361"/>
      <c r="D85" s="361"/>
      <c r="E85" s="361"/>
      <c r="F85" s="362"/>
      <c r="G85" s="363"/>
      <c r="H85" s="362"/>
      <c r="I85" s="363"/>
      <c r="J85" s="362"/>
      <c r="K85" s="363"/>
      <c r="L85" s="362"/>
      <c r="M85" s="362"/>
      <c r="N85" s="362"/>
      <c r="O85" s="363"/>
      <c r="P85" s="362"/>
      <c r="Q85" s="363"/>
      <c r="R85" s="362"/>
      <c r="S85" s="363"/>
      <c r="T85" s="362"/>
      <c r="U85" s="363"/>
      <c r="V85" s="362"/>
      <c r="W85" s="363"/>
      <c r="X85" s="362"/>
      <c r="Y85" s="363"/>
      <c r="Z85" s="362"/>
      <c r="AA85" s="363"/>
      <c r="AB85" s="362"/>
      <c r="AC85" s="363"/>
    </row>
    <row r="86" spans="1:29" hidden="1">
      <c r="A86" s="18" t="s">
        <v>1087</v>
      </c>
      <c r="B86" s="361"/>
      <c r="C86" s="361"/>
      <c r="D86" s="361"/>
      <c r="E86" s="361"/>
      <c r="F86" s="362"/>
      <c r="G86" s="363"/>
      <c r="H86" s="362"/>
      <c r="I86" s="363"/>
      <c r="J86" s="362"/>
      <c r="K86" s="363"/>
      <c r="L86" s="362"/>
      <c r="M86" s="362"/>
      <c r="N86" s="362"/>
      <c r="O86" s="363"/>
      <c r="P86" s="362"/>
      <c r="Q86" s="363"/>
      <c r="R86" s="362"/>
      <c r="S86" s="363"/>
      <c r="T86" s="362"/>
      <c r="U86" s="363"/>
      <c r="V86" s="362"/>
      <c r="W86" s="363"/>
      <c r="X86" s="362"/>
      <c r="Y86" s="363"/>
      <c r="Z86" s="362"/>
      <c r="AA86" s="363"/>
      <c r="AB86" s="362"/>
      <c r="AC86" s="363"/>
    </row>
    <row r="87" spans="1:29" hidden="1">
      <c r="A87" s="18" t="s">
        <v>1088</v>
      </c>
      <c r="B87" s="361"/>
      <c r="C87" s="361"/>
      <c r="D87" s="361"/>
      <c r="E87" s="361"/>
      <c r="F87" s="362"/>
      <c r="G87" s="363"/>
      <c r="H87" s="362"/>
      <c r="I87" s="363"/>
      <c r="J87" s="362"/>
      <c r="K87" s="363"/>
      <c r="L87" s="362"/>
      <c r="M87" s="362"/>
      <c r="N87" s="362"/>
      <c r="O87" s="363"/>
      <c r="P87" s="362"/>
      <c r="Q87" s="363"/>
      <c r="R87" s="362"/>
      <c r="S87" s="363"/>
      <c r="T87" s="362"/>
      <c r="U87" s="363"/>
      <c r="V87" s="362"/>
      <c r="W87" s="363"/>
      <c r="X87" s="362"/>
      <c r="Y87" s="363"/>
      <c r="Z87" s="362"/>
      <c r="AA87" s="363"/>
      <c r="AB87" s="362"/>
      <c r="AC87" s="363"/>
    </row>
    <row r="88" spans="1:29" hidden="1">
      <c r="A88" s="369" t="s">
        <v>1089</v>
      </c>
      <c r="B88" s="361"/>
      <c r="C88" s="361"/>
      <c r="D88" s="361"/>
      <c r="E88" s="361"/>
      <c r="F88" s="362"/>
      <c r="G88" s="363"/>
      <c r="H88" s="362"/>
      <c r="I88" s="363"/>
      <c r="J88" s="362"/>
      <c r="K88" s="363"/>
      <c r="L88" s="362"/>
      <c r="M88" s="362"/>
      <c r="N88" s="362"/>
      <c r="O88" s="363"/>
      <c r="P88" s="362"/>
      <c r="Q88" s="363"/>
      <c r="R88" s="362"/>
      <c r="S88" s="363"/>
      <c r="T88" s="362"/>
      <c r="U88" s="363"/>
      <c r="V88" s="362"/>
      <c r="W88" s="363"/>
      <c r="X88" s="362"/>
      <c r="Y88" s="363"/>
      <c r="Z88" s="362"/>
      <c r="AA88" s="363"/>
      <c r="AB88" s="362"/>
      <c r="AC88" s="363"/>
    </row>
    <row r="89" spans="1:29" hidden="1">
      <c r="A89" s="18"/>
      <c r="B89" s="361"/>
      <c r="C89" s="361"/>
      <c r="D89" s="361"/>
      <c r="E89" s="361"/>
      <c r="F89" s="362"/>
      <c r="G89" s="363"/>
      <c r="H89" s="362"/>
      <c r="I89" s="362"/>
      <c r="J89" s="362"/>
      <c r="K89" s="362"/>
      <c r="L89" s="362"/>
      <c r="M89" s="362"/>
      <c r="N89" s="362"/>
      <c r="O89" s="363"/>
      <c r="P89" s="362"/>
      <c r="Q89" s="363"/>
      <c r="R89" s="362"/>
      <c r="S89" s="363"/>
      <c r="T89" s="362"/>
      <c r="U89" s="363"/>
      <c r="V89" s="362"/>
      <c r="W89" s="363"/>
      <c r="X89" s="362"/>
      <c r="Y89" s="363"/>
      <c r="Z89" s="362"/>
      <c r="AA89" s="363"/>
      <c r="AB89" s="362"/>
      <c r="AC89" s="363"/>
    </row>
    <row r="90" spans="1:29" hidden="1">
      <c r="A90" s="15" t="s">
        <v>1090</v>
      </c>
      <c r="B90" s="362"/>
      <c r="C90" s="362"/>
      <c r="D90" s="362"/>
      <c r="E90" s="362"/>
      <c r="F90" s="362"/>
      <c r="G90" s="362"/>
      <c r="H90" s="362"/>
      <c r="I90" s="362"/>
      <c r="J90" s="362"/>
      <c r="K90" s="362"/>
      <c r="L90" s="362"/>
      <c r="M90" s="362"/>
      <c r="N90" s="362"/>
      <c r="O90" s="363"/>
      <c r="P90" s="362"/>
      <c r="Q90" s="363"/>
      <c r="R90" s="362"/>
      <c r="S90" s="363"/>
      <c r="T90" s="363"/>
      <c r="U90" s="363"/>
      <c r="V90" s="362"/>
      <c r="W90" s="363"/>
      <c r="X90" s="362"/>
      <c r="Y90" s="363"/>
      <c r="Z90" s="363"/>
      <c r="AA90" s="363"/>
      <c r="AB90" s="363"/>
      <c r="AC90" s="363"/>
    </row>
    <row r="91" spans="1:29" hidden="1">
      <c r="A91" s="368" t="s">
        <v>1091</v>
      </c>
      <c r="B91" s="361"/>
      <c r="C91" s="361"/>
      <c r="D91" s="361"/>
      <c r="E91" s="361"/>
      <c r="F91" s="362"/>
      <c r="G91" s="363"/>
      <c r="H91" s="362"/>
      <c r="I91" s="363"/>
      <c r="J91" s="362"/>
      <c r="K91" s="363"/>
      <c r="L91" s="362"/>
      <c r="M91" s="362"/>
      <c r="N91" s="362"/>
      <c r="O91" s="363"/>
      <c r="P91" s="362"/>
      <c r="Q91" s="363"/>
      <c r="R91" s="362"/>
      <c r="S91" s="363"/>
      <c r="T91" s="362"/>
      <c r="U91" s="363"/>
      <c r="V91" s="362"/>
      <c r="W91" s="363"/>
      <c r="X91" s="362"/>
      <c r="Y91" s="363"/>
      <c r="Z91" s="362"/>
      <c r="AA91" s="363"/>
      <c r="AB91" s="362"/>
      <c r="AC91" s="363"/>
    </row>
    <row r="92" spans="1:29" hidden="1">
      <c r="A92" s="368" t="s">
        <v>1092</v>
      </c>
      <c r="B92" s="361"/>
      <c r="C92" s="361"/>
      <c r="D92" s="361"/>
      <c r="E92" s="361"/>
      <c r="F92" s="362"/>
      <c r="G92" s="363"/>
      <c r="H92" s="362"/>
      <c r="I92" s="363"/>
      <c r="J92" s="362"/>
      <c r="K92" s="363"/>
      <c r="L92" s="362"/>
      <c r="M92" s="362"/>
      <c r="N92" s="362"/>
      <c r="O92" s="363"/>
      <c r="P92" s="362"/>
      <c r="Q92" s="363"/>
      <c r="R92" s="362"/>
      <c r="S92" s="363"/>
      <c r="T92" s="362"/>
      <c r="U92" s="363"/>
      <c r="V92" s="362"/>
      <c r="W92" s="363"/>
      <c r="X92" s="362"/>
      <c r="Y92" s="363"/>
      <c r="Z92" s="362"/>
      <c r="AA92" s="363"/>
      <c r="AB92" s="362"/>
      <c r="AC92" s="363"/>
    </row>
    <row r="93" spans="1:29" hidden="1">
      <c r="A93" s="368" t="s">
        <v>1093</v>
      </c>
      <c r="B93" s="361"/>
      <c r="C93" s="361"/>
      <c r="D93" s="361"/>
      <c r="E93" s="361"/>
      <c r="F93" s="362"/>
      <c r="G93" s="363"/>
      <c r="H93" s="362"/>
      <c r="I93" s="363"/>
      <c r="J93" s="362"/>
      <c r="K93" s="363"/>
      <c r="L93" s="362"/>
      <c r="M93" s="362"/>
      <c r="N93" s="362"/>
      <c r="O93" s="363"/>
      <c r="P93" s="362"/>
      <c r="Q93" s="363"/>
      <c r="R93" s="362"/>
      <c r="S93" s="363"/>
      <c r="T93" s="362"/>
      <c r="U93" s="363"/>
      <c r="V93" s="362"/>
      <c r="W93" s="363"/>
      <c r="X93" s="362"/>
      <c r="Y93" s="363"/>
      <c r="Z93" s="362"/>
      <c r="AA93" s="363"/>
      <c r="AB93" s="362"/>
      <c r="AC93" s="363"/>
    </row>
    <row r="94" spans="1:29" hidden="1">
      <c r="A94" s="368" t="s">
        <v>1094</v>
      </c>
      <c r="B94" s="361"/>
      <c r="C94" s="361"/>
      <c r="D94" s="361"/>
      <c r="E94" s="361"/>
      <c r="F94" s="362"/>
      <c r="G94" s="363"/>
      <c r="H94" s="362"/>
      <c r="I94" s="363"/>
      <c r="J94" s="362"/>
      <c r="K94" s="363"/>
      <c r="L94" s="362"/>
      <c r="M94" s="362"/>
      <c r="N94" s="362"/>
      <c r="O94" s="363"/>
      <c r="P94" s="362"/>
      <c r="Q94" s="363"/>
      <c r="R94" s="362"/>
      <c r="S94" s="363"/>
      <c r="T94" s="362"/>
      <c r="U94" s="363"/>
      <c r="V94" s="362"/>
      <c r="W94" s="363"/>
      <c r="X94" s="362"/>
      <c r="Y94" s="363"/>
      <c r="Z94" s="362"/>
      <c r="AA94" s="363"/>
      <c r="AB94" s="362"/>
      <c r="AC94" s="363"/>
    </row>
    <row r="95" spans="1:29" hidden="1">
      <c r="A95" s="368" t="s">
        <v>1095</v>
      </c>
      <c r="B95" s="361"/>
      <c r="C95" s="361"/>
      <c r="D95" s="361"/>
      <c r="E95" s="361"/>
      <c r="F95" s="362"/>
      <c r="G95" s="363"/>
      <c r="H95" s="362"/>
      <c r="I95" s="363"/>
      <c r="J95" s="362"/>
      <c r="K95" s="363"/>
      <c r="L95" s="362"/>
      <c r="M95" s="362"/>
      <c r="N95" s="362"/>
      <c r="O95" s="363"/>
      <c r="P95" s="362"/>
      <c r="Q95" s="363"/>
      <c r="R95" s="362"/>
      <c r="S95" s="363"/>
      <c r="T95" s="362"/>
      <c r="U95" s="363"/>
      <c r="V95" s="362"/>
      <c r="W95" s="363"/>
      <c r="X95" s="362"/>
      <c r="Y95" s="363"/>
      <c r="Z95" s="362"/>
      <c r="AA95" s="363"/>
      <c r="AB95" s="362"/>
      <c r="AC95" s="363"/>
    </row>
    <row r="96" spans="1:29" hidden="1">
      <c r="A96" s="368" t="s">
        <v>1096</v>
      </c>
      <c r="B96" s="361"/>
      <c r="C96" s="361"/>
      <c r="D96" s="361"/>
      <c r="E96" s="361"/>
      <c r="F96" s="362"/>
      <c r="G96" s="363"/>
      <c r="H96" s="362"/>
      <c r="I96" s="363"/>
      <c r="J96" s="362"/>
      <c r="K96" s="363"/>
      <c r="L96" s="362"/>
      <c r="M96" s="362"/>
      <c r="N96" s="362"/>
      <c r="O96" s="363"/>
      <c r="P96" s="362"/>
      <c r="Q96" s="363"/>
      <c r="R96" s="362"/>
      <c r="S96" s="363"/>
      <c r="T96" s="362"/>
      <c r="U96" s="363"/>
      <c r="V96" s="362"/>
      <c r="W96" s="363"/>
      <c r="X96" s="362"/>
      <c r="Y96" s="363"/>
      <c r="Z96" s="362"/>
      <c r="AA96" s="363"/>
      <c r="AB96" s="362"/>
      <c r="AC96" s="363"/>
    </row>
    <row r="97" spans="1:29" hidden="1">
      <c r="A97" s="15" t="s">
        <v>1097</v>
      </c>
      <c r="B97" s="361"/>
      <c r="C97" s="361"/>
      <c r="D97" s="361"/>
      <c r="E97" s="361"/>
      <c r="F97" s="362"/>
      <c r="G97" s="363"/>
      <c r="H97" s="362"/>
      <c r="I97" s="363"/>
      <c r="J97" s="362"/>
      <c r="K97" s="363"/>
      <c r="L97" s="362"/>
      <c r="M97" s="362"/>
      <c r="N97" s="362"/>
      <c r="O97" s="363"/>
      <c r="P97" s="362"/>
      <c r="Q97" s="363"/>
      <c r="R97" s="362"/>
      <c r="S97" s="363"/>
      <c r="T97" s="362"/>
      <c r="U97" s="363"/>
      <c r="V97" s="362"/>
      <c r="W97" s="363"/>
      <c r="X97" s="362"/>
      <c r="Y97" s="363"/>
      <c r="Z97" s="362"/>
      <c r="AA97" s="363"/>
      <c r="AB97" s="362"/>
      <c r="AC97" s="363"/>
    </row>
    <row r="98" spans="1:29" ht="15.75" hidden="1" customHeight="1">
      <c r="A98" s="368"/>
      <c r="B98" s="361"/>
      <c r="C98" s="361"/>
      <c r="D98" s="361"/>
      <c r="E98" s="361"/>
      <c r="F98" s="362"/>
      <c r="G98" s="363"/>
      <c r="H98" s="362"/>
      <c r="I98" s="363"/>
      <c r="J98" s="362"/>
      <c r="K98" s="362"/>
      <c r="L98" s="362"/>
      <c r="M98" s="362"/>
      <c r="N98" s="362"/>
      <c r="O98" s="363"/>
      <c r="P98" s="362"/>
      <c r="Q98" s="363"/>
      <c r="R98" s="362"/>
      <c r="S98" s="363"/>
      <c r="T98" s="362"/>
      <c r="U98" s="363"/>
      <c r="V98" s="362"/>
      <c r="W98" s="363"/>
      <c r="X98" s="362"/>
      <c r="Y98" s="363"/>
      <c r="Z98" s="362"/>
      <c r="AA98" s="363"/>
      <c r="AB98" s="363"/>
      <c r="AC98" s="363"/>
    </row>
    <row r="99" spans="1:29" hidden="1">
      <c r="A99" s="15" t="s">
        <v>1098</v>
      </c>
      <c r="B99" s="362"/>
      <c r="C99" s="362"/>
      <c r="D99" s="362"/>
      <c r="E99" s="362"/>
      <c r="F99" s="362"/>
      <c r="G99" s="362"/>
      <c r="H99" s="362"/>
      <c r="I99" s="363"/>
      <c r="J99" s="362"/>
      <c r="K99" s="362"/>
      <c r="L99" s="362"/>
      <c r="M99" s="362"/>
      <c r="N99" s="362"/>
      <c r="O99" s="363"/>
      <c r="P99" s="362"/>
      <c r="Q99" s="363"/>
      <c r="R99" s="362"/>
      <c r="S99" s="363"/>
      <c r="T99" s="363"/>
      <c r="U99" s="363"/>
      <c r="V99" s="362"/>
      <c r="W99" s="363"/>
      <c r="X99" s="362"/>
      <c r="Y99" s="363"/>
      <c r="Z99" s="363"/>
      <c r="AA99" s="363"/>
      <c r="AB99" s="363"/>
      <c r="AC99" s="363"/>
    </row>
    <row r="100" spans="1:29" hidden="1">
      <c r="A100" s="367" t="s">
        <v>1099</v>
      </c>
      <c r="B100" s="361"/>
      <c r="C100" s="361"/>
      <c r="D100" s="361"/>
      <c r="E100" s="361"/>
      <c r="F100" s="362"/>
      <c r="G100" s="363"/>
      <c r="H100" s="362"/>
      <c r="I100" s="363"/>
      <c r="J100" s="362"/>
      <c r="K100" s="363"/>
      <c r="L100" s="362"/>
      <c r="M100" s="362"/>
      <c r="N100" s="362"/>
      <c r="O100" s="363"/>
      <c r="P100" s="362"/>
      <c r="Q100" s="363"/>
      <c r="R100" s="362"/>
      <c r="S100" s="363"/>
      <c r="T100" s="362"/>
      <c r="U100" s="363"/>
      <c r="V100" s="362"/>
      <c r="W100" s="363"/>
      <c r="X100" s="362"/>
      <c r="Y100" s="363"/>
      <c r="Z100" s="362"/>
      <c r="AA100" s="363"/>
      <c r="AB100" s="362"/>
      <c r="AC100" s="363"/>
    </row>
    <row r="101" spans="1:29" hidden="1">
      <c r="A101" s="274" t="s">
        <v>1100</v>
      </c>
      <c r="B101" s="361"/>
      <c r="C101" s="361"/>
      <c r="D101" s="361"/>
      <c r="E101" s="361"/>
      <c r="F101" s="362"/>
      <c r="G101" s="363"/>
      <c r="H101" s="362"/>
      <c r="I101" s="363"/>
      <c r="J101" s="362"/>
      <c r="K101" s="363"/>
      <c r="L101" s="362"/>
      <c r="M101" s="362"/>
      <c r="N101" s="362"/>
      <c r="O101" s="363"/>
      <c r="P101" s="362"/>
      <c r="Q101" s="363"/>
      <c r="R101" s="362"/>
      <c r="S101" s="363"/>
      <c r="T101" s="362"/>
      <c r="U101" s="363"/>
      <c r="V101" s="362"/>
      <c r="W101" s="363"/>
      <c r="X101" s="362"/>
      <c r="Y101" s="363"/>
      <c r="Z101" s="362"/>
      <c r="AA101" s="363"/>
      <c r="AB101" s="362"/>
      <c r="AC101" s="363"/>
    </row>
    <row r="102" spans="1:29" hidden="1">
      <c r="A102" s="367" t="s">
        <v>1101</v>
      </c>
      <c r="B102" s="361"/>
      <c r="C102" s="361"/>
      <c r="D102" s="361"/>
      <c r="E102" s="361"/>
      <c r="F102" s="362"/>
      <c r="G102" s="363"/>
      <c r="H102" s="362"/>
      <c r="I102" s="363"/>
      <c r="J102" s="362"/>
      <c r="K102" s="363"/>
      <c r="L102" s="362"/>
      <c r="M102" s="362"/>
      <c r="N102" s="362"/>
      <c r="O102" s="363"/>
      <c r="P102" s="362"/>
      <c r="Q102" s="363"/>
      <c r="R102" s="362"/>
      <c r="S102" s="363"/>
      <c r="T102" s="362"/>
      <c r="U102" s="363"/>
      <c r="V102" s="362"/>
      <c r="W102" s="363"/>
      <c r="X102" s="362"/>
      <c r="Y102" s="363"/>
      <c r="Z102" s="362"/>
      <c r="AA102" s="363"/>
      <c r="AB102" s="362"/>
      <c r="AC102" s="363"/>
    </row>
    <row r="103" spans="1:29" hidden="1">
      <c r="A103" s="15" t="s">
        <v>1102</v>
      </c>
      <c r="B103" s="361"/>
      <c r="C103" s="361"/>
      <c r="D103" s="361"/>
      <c r="E103" s="361"/>
      <c r="F103" s="362"/>
      <c r="G103" s="363"/>
      <c r="H103" s="362"/>
      <c r="I103" s="363"/>
      <c r="J103" s="362"/>
      <c r="K103" s="363"/>
      <c r="L103" s="362"/>
      <c r="M103" s="362"/>
      <c r="N103" s="362"/>
      <c r="O103" s="363"/>
      <c r="P103" s="362"/>
      <c r="Q103" s="363"/>
      <c r="R103" s="362"/>
      <c r="S103" s="363"/>
      <c r="T103" s="362"/>
      <c r="U103" s="363"/>
      <c r="V103" s="362"/>
      <c r="W103" s="363"/>
      <c r="X103" s="362"/>
      <c r="Y103" s="363"/>
      <c r="Z103" s="362"/>
      <c r="AA103" s="363"/>
      <c r="AB103" s="362"/>
      <c r="AC103" s="363"/>
    </row>
    <row r="104" spans="1:29" hidden="1">
      <c r="A104" s="274"/>
      <c r="B104" s="361"/>
      <c r="C104" s="361"/>
      <c r="D104" s="361"/>
      <c r="E104" s="361"/>
      <c r="F104" s="362"/>
      <c r="G104" s="363"/>
      <c r="H104" s="362"/>
      <c r="I104" s="363"/>
      <c r="J104" s="362"/>
      <c r="K104" s="362"/>
      <c r="L104" s="362"/>
      <c r="M104" s="362"/>
      <c r="N104" s="362"/>
      <c r="O104" s="363"/>
      <c r="P104" s="362"/>
      <c r="Q104" s="363"/>
      <c r="R104" s="362"/>
      <c r="S104" s="363"/>
      <c r="T104" s="362"/>
      <c r="U104" s="363"/>
      <c r="V104" s="362"/>
      <c r="W104" s="363"/>
      <c r="X104" s="362"/>
      <c r="Y104" s="363"/>
      <c r="Z104" s="362"/>
      <c r="AA104" s="363"/>
      <c r="AB104" s="363"/>
      <c r="AC104" s="363"/>
    </row>
    <row r="105" spans="1:29">
      <c r="A105" s="15" t="s">
        <v>1103</v>
      </c>
      <c r="B105" s="362"/>
      <c r="C105" s="362"/>
      <c r="D105" s="362"/>
      <c r="E105" s="362"/>
      <c r="F105" s="362"/>
      <c r="G105" s="362"/>
      <c r="H105" s="362"/>
      <c r="I105" s="363"/>
      <c r="J105" s="362"/>
      <c r="K105" s="362"/>
      <c r="L105" s="362"/>
      <c r="M105" s="362"/>
      <c r="N105" s="362"/>
      <c r="O105" s="363"/>
      <c r="P105" s="362"/>
      <c r="Q105" s="363"/>
      <c r="R105" s="362"/>
      <c r="S105" s="363"/>
      <c r="T105" s="363"/>
      <c r="U105" s="363"/>
      <c r="V105" s="362"/>
      <c r="W105" s="363"/>
      <c r="X105" s="362"/>
      <c r="Y105" s="363"/>
      <c r="Z105" s="363"/>
      <c r="AA105" s="363"/>
      <c r="AB105" s="363"/>
      <c r="AC105" s="363"/>
    </row>
    <row r="106" spans="1:29" hidden="1">
      <c r="A106" s="367" t="s">
        <v>1104</v>
      </c>
      <c r="B106" s="361"/>
      <c r="C106" s="361"/>
      <c r="D106" s="361"/>
      <c r="E106" s="361"/>
      <c r="F106" s="362"/>
      <c r="G106" s="363"/>
      <c r="H106" s="362"/>
      <c r="I106" s="363"/>
      <c r="J106" s="362"/>
      <c r="K106" s="363"/>
      <c r="L106" s="362"/>
      <c r="M106" s="362"/>
      <c r="N106" s="362"/>
      <c r="O106" s="363"/>
      <c r="P106" s="362"/>
      <c r="Q106" s="363"/>
      <c r="R106" s="362"/>
      <c r="S106" s="363"/>
      <c r="T106" s="362"/>
      <c r="U106" s="363"/>
      <c r="V106" s="362"/>
      <c r="W106" s="363"/>
      <c r="X106" s="362"/>
      <c r="Y106" s="363"/>
      <c r="Z106" s="362"/>
      <c r="AA106" s="363"/>
      <c r="AB106" s="362"/>
      <c r="AC106" s="363"/>
    </row>
    <row r="107" spans="1:29">
      <c r="A107" s="367" t="s">
        <v>1105</v>
      </c>
      <c r="B107" s="1716" t="s">
        <v>2072</v>
      </c>
      <c r="C107" s="1717"/>
      <c r="D107" s="1717"/>
      <c r="E107" s="1718"/>
      <c r="F107" s="792">
        <f>+'ESR2_Sales Forecast'!X13</f>
        <v>0</v>
      </c>
      <c r="G107" s="363"/>
      <c r="H107" s="792">
        <f>+'ESR2_Sales Forecast'!Y13</f>
        <v>0</v>
      </c>
      <c r="I107" s="363"/>
      <c r="J107" s="672">
        <f>+'ESR2_Sales Forecast'!Z13</f>
        <v>0</v>
      </c>
      <c r="K107" s="363"/>
      <c r="L107" s="362">
        <f>+'ESR3_Curr Tariff'!O12</f>
        <v>0</v>
      </c>
      <c r="M107" s="797"/>
      <c r="N107" s="362">
        <f>+'ESR2_Sales Forecast'!AA13</f>
        <v>0</v>
      </c>
      <c r="O107" s="363">
        <f>IFERROR(N107/F107-1,0)</f>
        <v>0</v>
      </c>
      <c r="P107" s="362">
        <f>+'ESR2_Sales Forecast'!AB13</f>
        <v>0</v>
      </c>
      <c r="Q107" s="363">
        <f>IFERROR(P107/H107-1,0)</f>
        <v>0</v>
      </c>
      <c r="R107" s="672">
        <f>+'ESR2_Sales Forecast'!AC13</f>
        <v>0</v>
      </c>
      <c r="S107" s="363">
        <f>IFERROR(R107/J107-1,0)</f>
        <v>0</v>
      </c>
      <c r="T107" s="362">
        <f>+'ESR3_Curr Tariff'!AB12</f>
        <v>0</v>
      </c>
      <c r="U107" s="363">
        <f>IFERROR(T107/L107-1,0)</f>
        <v>0</v>
      </c>
      <c r="V107" s="362">
        <f>+'ESR2_Sales Forecast'!AD13</f>
        <v>0</v>
      </c>
      <c r="W107" s="363">
        <f>IFERROR(V107/N107-1,0)</f>
        <v>0</v>
      </c>
      <c r="X107" s="362">
        <f>+'ESR2_Sales Forecast'!AE13</f>
        <v>0</v>
      </c>
      <c r="Y107" s="363">
        <f>IFERROR(X107/P107-1,0)</f>
        <v>0</v>
      </c>
      <c r="Z107" s="672">
        <f>+'ESR2_Sales Forecast'!AF13</f>
        <v>0</v>
      </c>
      <c r="AA107" s="363">
        <f>IFERROR(Z107/R107-1,0)</f>
        <v>0</v>
      </c>
      <c r="AB107" s="362">
        <f>+'ESR4_Prop Tariff'!O12</f>
        <v>0</v>
      </c>
      <c r="AC107" s="363">
        <f>IFERROR(AB107/T107-1,0)</f>
        <v>0</v>
      </c>
    </row>
    <row r="108" spans="1:29" ht="22.9" hidden="1" customHeight="1">
      <c r="A108" s="367" t="s">
        <v>1106</v>
      </c>
      <c r="B108" s="1719"/>
      <c r="C108" s="1720"/>
      <c r="D108" s="1720"/>
      <c r="E108" s="1721"/>
      <c r="F108" s="792"/>
      <c r="G108" s="363"/>
      <c r="H108" s="792"/>
      <c r="I108" s="363"/>
      <c r="J108" s="672"/>
      <c r="K108" s="363"/>
      <c r="L108" s="362"/>
      <c r="M108" s="362"/>
      <c r="N108" s="362"/>
      <c r="O108" s="363"/>
      <c r="P108" s="362"/>
      <c r="Q108" s="363"/>
      <c r="R108" s="672"/>
      <c r="S108" s="363"/>
      <c r="T108" s="362"/>
      <c r="U108" s="363"/>
      <c r="V108" s="362"/>
      <c r="W108" s="363"/>
      <c r="X108" s="362"/>
      <c r="Y108" s="363"/>
      <c r="Z108" s="672"/>
      <c r="AA108" s="363"/>
      <c r="AB108" s="362"/>
      <c r="AC108" s="363"/>
    </row>
    <row r="109" spans="1:29" ht="22.9" hidden="1" customHeight="1">
      <c r="A109" s="367" t="s">
        <v>1107</v>
      </c>
      <c r="B109" s="1719"/>
      <c r="C109" s="1720"/>
      <c r="D109" s="1720"/>
      <c r="E109" s="1721"/>
      <c r="F109" s="792"/>
      <c r="G109" s="363"/>
      <c r="H109" s="792"/>
      <c r="I109" s="363"/>
      <c r="J109" s="672"/>
      <c r="K109" s="363"/>
      <c r="L109" s="362"/>
      <c r="M109" s="362"/>
      <c r="N109" s="362"/>
      <c r="O109" s="363"/>
      <c r="P109" s="362"/>
      <c r="Q109" s="363"/>
      <c r="R109" s="672"/>
      <c r="S109" s="363"/>
      <c r="T109" s="362"/>
      <c r="U109" s="363"/>
      <c r="V109" s="362"/>
      <c r="W109" s="363"/>
      <c r="X109" s="362"/>
      <c r="Y109" s="363"/>
      <c r="Z109" s="672"/>
      <c r="AA109" s="363"/>
      <c r="AB109" s="362"/>
      <c r="AC109" s="363"/>
    </row>
    <row r="110" spans="1:29">
      <c r="A110" s="15" t="s">
        <v>1108</v>
      </c>
      <c r="B110" s="1719"/>
      <c r="C110" s="1720"/>
      <c r="D110" s="1720"/>
      <c r="E110" s="1721"/>
      <c r="F110" s="793">
        <f t="shared" ref="F110:J110" si="0">SUM(F106:F109)</f>
        <v>0</v>
      </c>
      <c r="G110" s="790">
        <f t="shared" ref="G110" si="1">SUM(G106:G109)</f>
        <v>0</v>
      </c>
      <c r="H110" s="793">
        <f t="shared" si="0"/>
        <v>0</v>
      </c>
      <c r="I110" s="790">
        <f t="shared" ref="I110" si="2">SUM(I106:I109)</f>
        <v>0</v>
      </c>
      <c r="J110" s="926">
        <f t="shared" si="0"/>
        <v>0</v>
      </c>
      <c r="K110" s="790">
        <f t="shared" ref="K110" si="3">SUM(K106:K109)</f>
        <v>0</v>
      </c>
      <c r="L110" s="790">
        <f t="shared" ref="L110" si="4">SUM(L106:L109)</f>
        <v>0</v>
      </c>
      <c r="M110" s="790">
        <f t="shared" ref="M110" si="5">SUM(M106:M109)</f>
        <v>0</v>
      </c>
      <c r="N110" s="792">
        <f t="shared" ref="N110:R110" si="6">SUM(N106:N109)</f>
        <v>0</v>
      </c>
      <c r="O110" s="363">
        <f>IFERROR(N110/F110-1,0)</f>
        <v>0</v>
      </c>
      <c r="P110" s="792">
        <f t="shared" si="6"/>
        <v>0</v>
      </c>
      <c r="Q110" s="363">
        <f>IFERROR(P110/H110-1,0)</f>
        <v>0</v>
      </c>
      <c r="R110" s="672">
        <f t="shared" si="6"/>
        <v>0</v>
      </c>
      <c r="S110" s="363">
        <f>IFERROR(R110/J110-1,0)</f>
        <v>0</v>
      </c>
      <c r="T110" s="790">
        <f t="shared" ref="T110" si="7">SUM(T106:T109)</f>
        <v>0</v>
      </c>
      <c r="U110" s="363">
        <f>IFERROR(T110/L110-1,0)</f>
        <v>0</v>
      </c>
      <c r="V110" s="792">
        <f t="shared" ref="V110" si="8">SUM(V106:V109)</f>
        <v>0</v>
      </c>
      <c r="W110" s="363">
        <f>IFERROR(V110/N110-1,0)</f>
        <v>0</v>
      </c>
      <c r="X110" s="792">
        <f t="shared" ref="X110" si="9">SUM(X106:X109)</f>
        <v>0</v>
      </c>
      <c r="Y110" s="363">
        <f>IFERROR(X110/P110-1,0)</f>
        <v>0</v>
      </c>
      <c r="Z110" s="672">
        <f t="shared" ref="Z110" si="10">SUM(Z106:Z109)</f>
        <v>0</v>
      </c>
      <c r="AA110" s="363">
        <f>IFERROR(Z110/R110-1,0)</f>
        <v>0</v>
      </c>
      <c r="AB110" s="790">
        <f t="shared" ref="AB110" si="11">SUM(AB106:AB109)</f>
        <v>0</v>
      </c>
      <c r="AC110" s="363">
        <f>IFERROR(AB110/T110-1,0)</f>
        <v>0</v>
      </c>
    </row>
    <row r="111" spans="1:29" ht="22.9" hidden="1" customHeight="1">
      <c r="A111" s="274"/>
      <c r="B111" s="1719"/>
      <c r="C111" s="1720"/>
      <c r="D111" s="1720"/>
      <c r="E111" s="1721"/>
      <c r="F111" s="792"/>
      <c r="G111" s="363"/>
      <c r="H111" s="792"/>
      <c r="I111" s="363"/>
      <c r="J111" s="672"/>
      <c r="K111" s="362"/>
      <c r="L111" s="362"/>
      <c r="M111" s="362"/>
      <c r="N111" s="792"/>
      <c r="O111" s="363"/>
      <c r="P111" s="792"/>
      <c r="Q111" s="363"/>
      <c r="R111" s="672"/>
      <c r="S111" s="363"/>
      <c r="T111" s="362"/>
      <c r="U111" s="363"/>
      <c r="V111" s="792"/>
      <c r="W111" s="363"/>
      <c r="X111" s="792"/>
      <c r="Y111" s="363"/>
      <c r="Z111" s="672"/>
      <c r="AA111" s="363"/>
      <c r="AB111" s="362"/>
      <c r="AC111" s="363"/>
    </row>
    <row r="112" spans="1:29" ht="22.9" hidden="1" customHeight="1">
      <c r="A112" s="15" t="s">
        <v>1109</v>
      </c>
      <c r="B112" s="1719"/>
      <c r="C112" s="1720"/>
      <c r="D112" s="1720"/>
      <c r="E112" s="1721"/>
      <c r="F112" s="792"/>
      <c r="G112" s="362"/>
      <c r="H112" s="792"/>
      <c r="I112" s="363"/>
      <c r="J112" s="672"/>
      <c r="K112" s="362"/>
      <c r="L112" s="362"/>
      <c r="M112" s="362"/>
      <c r="N112" s="792"/>
      <c r="O112" s="363"/>
      <c r="P112" s="792"/>
      <c r="Q112" s="363"/>
      <c r="R112" s="672"/>
      <c r="S112" s="363"/>
      <c r="T112" s="363"/>
      <c r="U112" s="363"/>
      <c r="V112" s="792"/>
      <c r="W112" s="363"/>
      <c r="X112" s="792"/>
      <c r="Y112" s="363"/>
      <c r="Z112" s="672"/>
      <c r="AA112" s="363"/>
      <c r="AB112" s="363"/>
      <c r="AC112" s="363"/>
    </row>
    <row r="113" spans="1:29" ht="22.9" hidden="1" customHeight="1">
      <c r="A113" s="367" t="s">
        <v>1110</v>
      </c>
      <c r="B113" s="1719"/>
      <c r="C113" s="1720"/>
      <c r="D113" s="1720"/>
      <c r="E113" s="1721"/>
      <c r="F113" s="792"/>
      <c r="G113" s="363"/>
      <c r="H113" s="792"/>
      <c r="I113" s="363"/>
      <c r="J113" s="672"/>
      <c r="K113" s="363"/>
      <c r="L113" s="362"/>
      <c r="M113" s="362"/>
      <c r="N113" s="793"/>
      <c r="O113" s="363"/>
      <c r="P113" s="793"/>
      <c r="Q113" s="363"/>
      <c r="R113" s="926"/>
      <c r="S113" s="363"/>
      <c r="T113" s="362"/>
      <c r="U113" s="363"/>
      <c r="V113" s="793"/>
      <c r="W113" s="363"/>
      <c r="X113" s="793"/>
      <c r="Y113" s="363"/>
      <c r="Z113" s="926"/>
      <c r="AA113" s="363"/>
      <c r="AB113" s="362"/>
      <c r="AC113" s="363"/>
    </row>
    <row r="114" spans="1:29" ht="22.9" hidden="1" customHeight="1">
      <c r="A114" s="367" t="s">
        <v>1111</v>
      </c>
      <c r="B114" s="1719"/>
      <c r="C114" s="1720"/>
      <c r="D114" s="1720"/>
      <c r="E114" s="1721"/>
      <c r="F114" s="792"/>
      <c r="G114" s="363"/>
      <c r="H114" s="792"/>
      <c r="I114" s="363"/>
      <c r="J114" s="672"/>
      <c r="K114" s="363"/>
      <c r="L114" s="362"/>
      <c r="M114" s="362"/>
      <c r="N114" s="792"/>
      <c r="O114" s="363"/>
      <c r="P114" s="792"/>
      <c r="Q114" s="363"/>
      <c r="R114" s="672"/>
      <c r="S114" s="363"/>
      <c r="T114" s="362"/>
      <c r="U114" s="363"/>
      <c r="V114" s="792"/>
      <c r="W114" s="363"/>
      <c r="X114" s="792"/>
      <c r="Y114" s="363"/>
      <c r="Z114" s="672"/>
      <c r="AA114" s="363"/>
      <c r="AB114" s="362"/>
      <c r="AC114" s="363"/>
    </row>
    <row r="115" spans="1:29" ht="22.9" hidden="1" customHeight="1">
      <c r="A115" s="367" t="s">
        <v>1112</v>
      </c>
      <c r="B115" s="1719"/>
      <c r="C115" s="1720"/>
      <c r="D115" s="1720"/>
      <c r="E115" s="1721"/>
      <c r="F115" s="792"/>
      <c r="G115" s="363"/>
      <c r="H115" s="792"/>
      <c r="I115" s="363"/>
      <c r="J115" s="672"/>
      <c r="K115" s="363"/>
      <c r="L115" s="362"/>
      <c r="M115" s="362"/>
      <c r="N115" s="792"/>
      <c r="O115" s="363"/>
      <c r="P115" s="792"/>
      <c r="Q115" s="363"/>
      <c r="R115" s="672"/>
      <c r="S115" s="363"/>
      <c r="T115" s="362"/>
      <c r="U115" s="363"/>
      <c r="V115" s="792"/>
      <c r="W115" s="363"/>
      <c r="X115" s="792"/>
      <c r="Y115" s="363"/>
      <c r="Z115" s="672"/>
      <c r="AA115" s="363"/>
      <c r="AB115" s="362"/>
      <c r="AC115" s="363"/>
    </row>
    <row r="116" spans="1:29" ht="22.9" hidden="1" customHeight="1">
      <c r="A116" s="367" t="s">
        <v>1113</v>
      </c>
      <c r="B116" s="1719"/>
      <c r="C116" s="1720"/>
      <c r="D116" s="1720"/>
      <c r="E116" s="1721"/>
      <c r="F116" s="792"/>
      <c r="G116" s="363"/>
      <c r="H116" s="792"/>
      <c r="I116" s="363"/>
      <c r="J116" s="672"/>
      <c r="K116" s="363"/>
      <c r="L116" s="362"/>
      <c r="M116" s="362"/>
      <c r="N116" s="792"/>
      <c r="O116" s="363"/>
      <c r="P116" s="792"/>
      <c r="Q116" s="363"/>
      <c r="R116" s="672"/>
      <c r="S116" s="363"/>
      <c r="T116" s="362"/>
      <c r="U116" s="363"/>
      <c r="V116" s="792"/>
      <c r="W116" s="363"/>
      <c r="X116" s="792"/>
      <c r="Y116" s="363"/>
      <c r="Z116" s="672"/>
      <c r="AA116" s="363"/>
      <c r="AB116" s="362"/>
      <c r="AC116" s="363"/>
    </row>
    <row r="117" spans="1:29" ht="22.9" hidden="1" customHeight="1">
      <c r="A117" s="367" t="s">
        <v>1114</v>
      </c>
      <c r="B117" s="1719"/>
      <c r="C117" s="1720"/>
      <c r="D117" s="1720"/>
      <c r="E117" s="1721"/>
      <c r="F117" s="792"/>
      <c r="G117" s="363"/>
      <c r="H117" s="792"/>
      <c r="I117" s="363"/>
      <c r="J117" s="672"/>
      <c r="K117" s="363"/>
      <c r="L117" s="362"/>
      <c r="M117" s="362"/>
      <c r="N117" s="792"/>
      <c r="O117" s="363"/>
      <c r="P117" s="792"/>
      <c r="Q117" s="363"/>
      <c r="R117" s="672"/>
      <c r="S117" s="363"/>
      <c r="T117" s="362"/>
      <c r="U117" s="363"/>
      <c r="V117" s="792"/>
      <c r="W117" s="363"/>
      <c r="X117" s="792"/>
      <c r="Y117" s="363"/>
      <c r="Z117" s="672"/>
      <c r="AA117" s="363"/>
      <c r="AB117" s="362"/>
      <c r="AC117" s="363"/>
    </row>
    <row r="118" spans="1:29" ht="22.9" hidden="1" customHeight="1">
      <c r="A118" s="367" t="s">
        <v>1115</v>
      </c>
      <c r="B118" s="1719"/>
      <c r="C118" s="1720"/>
      <c r="D118" s="1720"/>
      <c r="E118" s="1721"/>
      <c r="F118" s="792"/>
      <c r="G118" s="363"/>
      <c r="H118" s="792"/>
      <c r="I118" s="363"/>
      <c r="J118" s="672"/>
      <c r="K118" s="363"/>
      <c r="L118" s="362"/>
      <c r="M118" s="362"/>
      <c r="N118" s="792"/>
      <c r="O118" s="363"/>
      <c r="P118" s="792"/>
      <c r="Q118" s="363"/>
      <c r="R118" s="672"/>
      <c r="S118" s="363"/>
      <c r="T118" s="362"/>
      <c r="U118" s="363"/>
      <c r="V118" s="792"/>
      <c r="W118" s="363"/>
      <c r="X118" s="792"/>
      <c r="Y118" s="363"/>
      <c r="Z118" s="672"/>
      <c r="AA118" s="363"/>
      <c r="AB118" s="362"/>
      <c r="AC118" s="363"/>
    </row>
    <row r="119" spans="1:29" ht="22.9" hidden="1" customHeight="1">
      <c r="A119" s="367" t="s">
        <v>1116</v>
      </c>
      <c r="B119" s="1719"/>
      <c r="C119" s="1720"/>
      <c r="D119" s="1720"/>
      <c r="E119" s="1721"/>
      <c r="F119" s="792"/>
      <c r="G119" s="363"/>
      <c r="H119" s="792"/>
      <c r="I119" s="363"/>
      <c r="J119" s="672"/>
      <c r="K119" s="363"/>
      <c r="L119" s="362"/>
      <c r="M119" s="362"/>
      <c r="N119" s="792"/>
      <c r="O119" s="363"/>
      <c r="P119" s="792"/>
      <c r="Q119" s="363"/>
      <c r="R119" s="672"/>
      <c r="S119" s="363"/>
      <c r="T119" s="362"/>
      <c r="U119" s="363"/>
      <c r="V119" s="792"/>
      <c r="W119" s="363"/>
      <c r="X119" s="792"/>
      <c r="Y119" s="363"/>
      <c r="Z119" s="672"/>
      <c r="AA119" s="363"/>
      <c r="AB119" s="362"/>
      <c r="AC119" s="363"/>
    </row>
    <row r="120" spans="1:29" ht="22.9" hidden="1" customHeight="1">
      <c r="A120" s="367" t="s">
        <v>1117</v>
      </c>
      <c r="B120" s="1719"/>
      <c r="C120" s="1720"/>
      <c r="D120" s="1720"/>
      <c r="E120" s="1721"/>
      <c r="F120" s="792"/>
      <c r="G120" s="363"/>
      <c r="H120" s="792"/>
      <c r="I120" s="363"/>
      <c r="J120" s="672"/>
      <c r="K120" s="363"/>
      <c r="L120" s="362"/>
      <c r="M120" s="362"/>
      <c r="N120" s="792"/>
      <c r="O120" s="363"/>
      <c r="P120" s="792"/>
      <c r="Q120" s="363"/>
      <c r="R120" s="672"/>
      <c r="S120" s="363"/>
      <c r="T120" s="362"/>
      <c r="U120" s="363"/>
      <c r="V120" s="792"/>
      <c r="W120" s="363"/>
      <c r="X120" s="792"/>
      <c r="Y120" s="363"/>
      <c r="Z120" s="672"/>
      <c r="AA120" s="363"/>
      <c r="AB120" s="362"/>
      <c r="AC120" s="363"/>
    </row>
    <row r="121" spans="1:29" ht="22.9" hidden="1" customHeight="1">
      <c r="A121" s="15" t="s">
        <v>1118</v>
      </c>
      <c r="B121" s="1719"/>
      <c r="C121" s="1720"/>
      <c r="D121" s="1720"/>
      <c r="E121" s="1721"/>
      <c r="F121" s="792"/>
      <c r="G121" s="363"/>
      <c r="H121" s="792"/>
      <c r="I121" s="363"/>
      <c r="J121" s="672"/>
      <c r="K121" s="363"/>
      <c r="L121" s="362"/>
      <c r="M121" s="362"/>
      <c r="N121" s="792"/>
      <c r="O121" s="363"/>
      <c r="P121" s="792"/>
      <c r="Q121" s="363"/>
      <c r="R121" s="672"/>
      <c r="S121" s="363"/>
      <c r="T121" s="362"/>
      <c r="U121" s="363"/>
      <c r="V121" s="792"/>
      <c r="W121" s="363"/>
      <c r="X121" s="792"/>
      <c r="Y121" s="363"/>
      <c r="Z121" s="672"/>
      <c r="AA121" s="363"/>
      <c r="AB121" s="362"/>
      <c r="AC121" s="363"/>
    </row>
    <row r="122" spans="1:29">
      <c r="A122" s="368"/>
      <c r="B122" s="1719"/>
      <c r="C122" s="1720"/>
      <c r="D122" s="1720"/>
      <c r="E122" s="1721"/>
      <c r="F122" s="792"/>
      <c r="G122" s="363"/>
      <c r="H122" s="792"/>
      <c r="I122" s="363"/>
      <c r="J122" s="672"/>
      <c r="K122" s="362"/>
      <c r="L122" s="362"/>
      <c r="M122" s="362"/>
      <c r="N122" s="792"/>
      <c r="O122" s="363"/>
      <c r="P122" s="792"/>
      <c r="Q122" s="363"/>
      <c r="R122" s="672"/>
      <c r="S122" s="363"/>
      <c r="T122" s="362"/>
      <c r="U122" s="363"/>
      <c r="V122" s="792"/>
      <c r="W122" s="363"/>
      <c r="X122" s="792"/>
      <c r="Y122" s="363"/>
      <c r="Z122" s="672"/>
      <c r="AA122" s="363"/>
      <c r="AB122" s="362"/>
      <c r="AC122" s="363"/>
    </row>
    <row r="123" spans="1:29">
      <c r="A123" s="15" t="s">
        <v>1119</v>
      </c>
      <c r="B123" s="1719"/>
      <c r="C123" s="1720"/>
      <c r="D123" s="1720"/>
      <c r="E123" s="1721"/>
      <c r="F123" s="792"/>
      <c r="G123" s="362"/>
      <c r="H123" s="792"/>
      <c r="I123" s="363"/>
      <c r="J123" s="672"/>
      <c r="K123" s="362"/>
      <c r="L123" s="362"/>
      <c r="M123" s="362"/>
      <c r="N123" s="792"/>
      <c r="O123" s="363"/>
      <c r="P123" s="792"/>
      <c r="Q123" s="363"/>
      <c r="R123" s="672"/>
      <c r="S123" s="363"/>
      <c r="T123" s="363"/>
      <c r="U123" s="363"/>
      <c r="V123" s="792"/>
      <c r="W123" s="363"/>
      <c r="X123" s="792"/>
      <c r="Y123" s="363"/>
      <c r="Z123" s="672"/>
      <c r="AA123" s="363"/>
      <c r="AB123" s="363"/>
      <c r="AC123" s="363"/>
    </row>
    <row r="124" spans="1:29" ht="22.9" hidden="1" customHeight="1">
      <c r="A124" s="367" t="s">
        <v>1120</v>
      </c>
      <c r="B124" s="1719"/>
      <c r="C124" s="1720"/>
      <c r="D124" s="1720"/>
      <c r="E124" s="1721"/>
      <c r="F124" s="792"/>
      <c r="G124" s="363"/>
      <c r="H124" s="792"/>
      <c r="I124" s="363"/>
      <c r="J124" s="672"/>
      <c r="K124" s="363"/>
      <c r="L124" s="362"/>
      <c r="M124" s="362"/>
      <c r="N124" s="792"/>
      <c r="O124" s="363"/>
      <c r="P124" s="792"/>
      <c r="Q124" s="363"/>
      <c r="R124" s="672"/>
      <c r="S124" s="363"/>
      <c r="T124" s="362"/>
      <c r="U124" s="363"/>
      <c r="V124" s="792"/>
      <c r="W124" s="363"/>
      <c r="X124" s="792"/>
      <c r="Y124" s="363"/>
      <c r="Z124" s="672"/>
      <c r="AA124" s="363"/>
      <c r="AB124" s="362"/>
      <c r="AC124" s="363"/>
    </row>
    <row r="125" spans="1:29">
      <c r="A125" s="367" t="s">
        <v>1121</v>
      </c>
      <c r="B125" s="1719"/>
      <c r="C125" s="1720"/>
      <c r="D125" s="1720"/>
      <c r="E125" s="1721"/>
      <c r="F125" s="792">
        <f>+'ESR2_Sales Forecast'!X11</f>
        <v>1</v>
      </c>
      <c r="G125" s="363"/>
      <c r="H125" s="792">
        <f>+'ESR2_Sales Forecast'!Y11</f>
        <v>30</v>
      </c>
      <c r="I125" s="363"/>
      <c r="J125" s="672">
        <f>+'ESR2_Sales Forecast'!Z11</f>
        <v>20.441292298297707</v>
      </c>
      <c r="K125" s="363"/>
      <c r="L125" s="362">
        <f>+'ESR3_Curr Tariff'!O10</f>
        <v>17.798230165881655</v>
      </c>
      <c r="M125" s="362"/>
      <c r="N125" s="792">
        <f>+'ESR2_Sales Forecast'!AA11</f>
        <v>1</v>
      </c>
      <c r="O125" s="363">
        <f t="shared" ref="O125:U128" si="12">IFERROR(N125/F125-1,0)</f>
        <v>0</v>
      </c>
      <c r="P125" s="792">
        <f>+'ESR2_Sales Forecast'!AB11</f>
        <v>35</v>
      </c>
      <c r="Q125" s="363">
        <f t="shared" si="12"/>
        <v>0.16666666666666674</v>
      </c>
      <c r="R125" s="672">
        <f>+'ESR2_Sales Forecast'!AC11</f>
        <v>0.25949106808950156</v>
      </c>
      <c r="S125" s="363">
        <f t="shared" si="12"/>
        <v>-0.98730554485974886</v>
      </c>
      <c r="T125" s="362">
        <f>+'ESR3_Curr Tariff'!AB10</f>
        <v>0.20225738809276411</v>
      </c>
      <c r="U125" s="363">
        <f t="shared" si="12"/>
        <v>-0.98863609548771414</v>
      </c>
      <c r="V125" s="792">
        <f>+'ESR2_Sales Forecast'!AD11</f>
        <v>1</v>
      </c>
      <c r="W125" s="363">
        <f t="shared" ref="W125:W128" si="13">IFERROR(V125/N125-1,0)</f>
        <v>0</v>
      </c>
      <c r="X125" s="792">
        <f>+'ESR2_Sales Forecast'!AE11</f>
        <v>35</v>
      </c>
      <c r="Y125" s="363">
        <f t="shared" ref="Y125:Y128" si="14">IFERROR(X125/P125-1,0)</f>
        <v>0</v>
      </c>
      <c r="Z125" s="672">
        <f>+'ESR2_Sales Forecast'!AF11</f>
        <v>0.26060999999999995</v>
      </c>
      <c r="AA125" s="363">
        <f t="shared" ref="AA125:AA128" si="15">IFERROR(Z125/R125-1,0)</f>
        <v>4.3120247596053485E-3</v>
      </c>
      <c r="AB125" s="362">
        <f>+'ESR4_Prop Tariff'!O10</f>
        <v>0.2279204242424242</v>
      </c>
      <c r="AC125" s="363">
        <f t="shared" ref="AC125:AC128" si="16">IFERROR(AB125/T125-1,0)</f>
        <v>0.12688305921309473</v>
      </c>
    </row>
    <row r="126" spans="1:29" ht="22.9" hidden="1" customHeight="1">
      <c r="A126" s="367" t="s">
        <v>1122</v>
      </c>
      <c r="B126" s="1719"/>
      <c r="C126" s="1720"/>
      <c r="D126" s="1720"/>
      <c r="E126" s="1721"/>
      <c r="F126" s="792"/>
      <c r="G126" s="363"/>
      <c r="H126" s="792"/>
      <c r="I126" s="363"/>
      <c r="J126" s="672"/>
      <c r="K126" s="363"/>
      <c r="L126" s="362"/>
      <c r="M126" s="362"/>
      <c r="N126" s="792"/>
      <c r="O126" s="363">
        <f t="shared" si="12"/>
        <v>0</v>
      </c>
      <c r="P126" s="792"/>
      <c r="Q126" s="363">
        <f t="shared" si="12"/>
        <v>0</v>
      </c>
      <c r="R126" s="672"/>
      <c r="S126" s="363">
        <f t="shared" si="12"/>
        <v>0</v>
      </c>
      <c r="T126" s="362"/>
      <c r="U126" s="363">
        <f t="shared" si="12"/>
        <v>0</v>
      </c>
      <c r="V126" s="792"/>
      <c r="W126" s="363">
        <f t="shared" si="13"/>
        <v>0</v>
      </c>
      <c r="X126" s="792"/>
      <c r="Y126" s="363">
        <f t="shared" si="14"/>
        <v>0</v>
      </c>
      <c r="Z126" s="672"/>
      <c r="AA126" s="363">
        <f t="shared" si="15"/>
        <v>0</v>
      </c>
      <c r="AB126" s="362"/>
      <c r="AC126" s="363">
        <f t="shared" si="16"/>
        <v>0</v>
      </c>
    </row>
    <row r="127" spans="1:29" ht="22.9" hidden="1" customHeight="1">
      <c r="A127" s="367" t="s">
        <v>1123</v>
      </c>
      <c r="B127" s="1719"/>
      <c r="C127" s="1720"/>
      <c r="D127" s="1720"/>
      <c r="E127" s="1721"/>
      <c r="F127" s="792"/>
      <c r="G127" s="363"/>
      <c r="H127" s="792"/>
      <c r="I127" s="363"/>
      <c r="J127" s="672"/>
      <c r="K127" s="363"/>
      <c r="L127" s="362"/>
      <c r="M127" s="362"/>
      <c r="N127" s="792"/>
      <c r="O127" s="363">
        <f t="shared" si="12"/>
        <v>0</v>
      </c>
      <c r="P127" s="792"/>
      <c r="Q127" s="363">
        <f t="shared" si="12"/>
        <v>0</v>
      </c>
      <c r="R127" s="672"/>
      <c r="S127" s="363">
        <f t="shared" si="12"/>
        <v>0</v>
      </c>
      <c r="T127" s="362"/>
      <c r="U127" s="363">
        <f t="shared" si="12"/>
        <v>0</v>
      </c>
      <c r="V127" s="792"/>
      <c r="W127" s="363">
        <f t="shared" si="13"/>
        <v>0</v>
      </c>
      <c r="X127" s="792"/>
      <c r="Y127" s="363">
        <f t="shared" si="14"/>
        <v>0</v>
      </c>
      <c r="Z127" s="672"/>
      <c r="AA127" s="363">
        <f t="shared" si="15"/>
        <v>0</v>
      </c>
      <c r="AB127" s="362"/>
      <c r="AC127" s="363">
        <f t="shared" si="16"/>
        <v>0</v>
      </c>
    </row>
    <row r="128" spans="1:29">
      <c r="A128" s="15" t="s">
        <v>1124</v>
      </c>
      <c r="B128" s="1719"/>
      <c r="C128" s="1720"/>
      <c r="D128" s="1720"/>
      <c r="E128" s="1721"/>
      <c r="F128" s="793">
        <f t="shared" ref="F128:J128" si="17">SUM(F124:F127)</f>
        <v>1</v>
      </c>
      <c r="G128" s="790">
        <f t="shared" ref="G128" si="18">SUM(G124:G127)</f>
        <v>0</v>
      </c>
      <c r="H128" s="793">
        <f t="shared" si="17"/>
        <v>30</v>
      </c>
      <c r="I128" s="790">
        <f t="shared" ref="I128" si="19">SUM(I124:I127)</f>
        <v>0</v>
      </c>
      <c r="J128" s="926">
        <f t="shared" si="17"/>
        <v>20.441292298297707</v>
      </c>
      <c r="K128" s="790">
        <f t="shared" ref="K128" si="20">SUM(K124:K127)</f>
        <v>0</v>
      </c>
      <c r="L128" s="790">
        <f t="shared" ref="L128" si="21">SUM(L124:L127)</f>
        <v>17.798230165881655</v>
      </c>
      <c r="M128" s="790">
        <f t="shared" ref="M128" si="22">SUM(M124:M127)</f>
        <v>0</v>
      </c>
      <c r="N128" s="792">
        <f t="shared" ref="N128:R128" si="23">SUM(N124:N127)</f>
        <v>1</v>
      </c>
      <c r="O128" s="363">
        <f t="shared" si="12"/>
        <v>0</v>
      </c>
      <c r="P128" s="792">
        <f t="shared" si="23"/>
        <v>35</v>
      </c>
      <c r="Q128" s="363">
        <f t="shared" si="12"/>
        <v>0.16666666666666674</v>
      </c>
      <c r="R128" s="672">
        <f t="shared" si="23"/>
        <v>0.25949106808950156</v>
      </c>
      <c r="S128" s="363">
        <f t="shared" si="12"/>
        <v>-0.98730554485974886</v>
      </c>
      <c r="T128" s="790">
        <f t="shared" ref="T128" si="24">SUM(T124:T127)</f>
        <v>0.20225738809276411</v>
      </c>
      <c r="U128" s="363">
        <f t="shared" si="12"/>
        <v>-0.98863609548771414</v>
      </c>
      <c r="V128" s="792">
        <f t="shared" ref="V128" si="25">SUM(V124:V127)</f>
        <v>1</v>
      </c>
      <c r="W128" s="363">
        <f t="shared" si="13"/>
        <v>0</v>
      </c>
      <c r="X128" s="792">
        <f t="shared" ref="X128" si="26">SUM(X124:X127)</f>
        <v>35</v>
      </c>
      <c r="Y128" s="363">
        <f t="shared" si="14"/>
        <v>0</v>
      </c>
      <c r="Z128" s="672">
        <f t="shared" ref="Z128" si="27">SUM(Z124:Z127)</f>
        <v>0.26060999999999995</v>
      </c>
      <c r="AA128" s="363">
        <f t="shared" si="15"/>
        <v>4.3120247596053485E-3</v>
      </c>
      <c r="AB128" s="790">
        <f t="shared" ref="AB128" si="28">SUM(AB124:AB127)</f>
        <v>0.2279204242424242</v>
      </c>
      <c r="AC128" s="363">
        <f t="shared" si="16"/>
        <v>0.12688305921309473</v>
      </c>
    </row>
    <row r="129" spans="1:29">
      <c r="A129" s="274"/>
      <c r="B129" s="1719"/>
      <c r="C129" s="1720"/>
      <c r="D129" s="1720"/>
      <c r="E129" s="1721"/>
      <c r="F129" s="792"/>
      <c r="G129" s="363"/>
      <c r="H129" s="792"/>
      <c r="I129" s="362"/>
      <c r="J129" s="672"/>
      <c r="K129" s="362"/>
      <c r="L129" s="362"/>
      <c r="M129" s="362"/>
      <c r="N129" s="792"/>
      <c r="O129" s="363"/>
      <c r="P129" s="792"/>
      <c r="Q129" s="363"/>
      <c r="R129" s="672"/>
      <c r="S129" s="363"/>
      <c r="T129" s="362"/>
      <c r="U129" s="363"/>
      <c r="V129" s="792"/>
      <c r="W129" s="363"/>
      <c r="X129" s="792"/>
      <c r="Y129" s="363"/>
      <c r="Z129" s="672"/>
      <c r="AA129" s="363"/>
      <c r="AB129" s="362"/>
      <c r="AC129" s="363"/>
    </row>
    <row r="130" spans="1:29">
      <c r="A130" s="15" t="s">
        <v>1125</v>
      </c>
      <c r="B130" s="1719"/>
      <c r="C130" s="1720"/>
      <c r="D130" s="1720"/>
      <c r="E130" s="1721"/>
      <c r="F130" s="792"/>
      <c r="G130" s="362"/>
      <c r="H130" s="792"/>
      <c r="I130" s="362"/>
      <c r="J130" s="672"/>
      <c r="K130" s="362"/>
      <c r="L130" s="362"/>
      <c r="M130" s="362"/>
      <c r="N130" s="792"/>
      <c r="O130" s="363"/>
      <c r="P130" s="792"/>
      <c r="Q130" s="363"/>
      <c r="R130" s="672"/>
      <c r="S130" s="363"/>
      <c r="T130" s="362"/>
      <c r="U130" s="363"/>
      <c r="V130" s="792"/>
      <c r="W130" s="363"/>
      <c r="X130" s="792"/>
      <c r="Y130" s="363"/>
      <c r="Z130" s="672"/>
      <c r="AA130" s="363"/>
      <c r="AB130" s="362"/>
      <c r="AC130" s="363"/>
    </row>
    <row r="131" spans="1:29" ht="22.9" hidden="1" customHeight="1">
      <c r="A131" s="366" t="s">
        <v>1126</v>
      </c>
      <c r="B131" s="1719"/>
      <c r="C131" s="1720"/>
      <c r="D131" s="1720"/>
      <c r="E131" s="1721"/>
      <c r="F131" s="792"/>
      <c r="G131" s="363"/>
      <c r="H131" s="792"/>
      <c r="I131" s="363"/>
      <c r="J131" s="672"/>
      <c r="K131" s="363"/>
      <c r="L131" s="362"/>
      <c r="M131" s="362"/>
      <c r="N131" s="793"/>
      <c r="O131" s="363"/>
      <c r="P131" s="793"/>
      <c r="Q131" s="363"/>
      <c r="R131" s="926"/>
      <c r="S131" s="363"/>
      <c r="T131" s="362"/>
      <c r="U131" s="363"/>
      <c r="V131" s="793"/>
      <c r="W131" s="363"/>
      <c r="X131" s="793"/>
      <c r="Y131" s="363"/>
      <c r="Z131" s="926"/>
      <c r="AA131" s="363"/>
      <c r="AB131" s="362"/>
      <c r="AC131" s="363"/>
    </row>
    <row r="132" spans="1:29" ht="22.9" hidden="1" customHeight="1">
      <c r="A132" s="367" t="s">
        <v>1127</v>
      </c>
      <c r="B132" s="1719"/>
      <c r="C132" s="1720"/>
      <c r="D132" s="1720"/>
      <c r="E132" s="1721"/>
      <c r="F132" s="792"/>
      <c r="G132" s="363"/>
      <c r="H132" s="792"/>
      <c r="I132" s="363"/>
      <c r="J132" s="672"/>
      <c r="K132" s="363"/>
      <c r="L132" s="362"/>
      <c r="M132" s="362"/>
      <c r="N132" s="792"/>
      <c r="O132" s="363"/>
      <c r="P132" s="792"/>
      <c r="Q132" s="363"/>
      <c r="R132" s="672"/>
      <c r="S132" s="363"/>
      <c r="T132" s="362"/>
      <c r="U132" s="363"/>
      <c r="V132" s="792"/>
      <c r="W132" s="363"/>
      <c r="X132" s="792"/>
      <c r="Y132" s="363"/>
      <c r="Z132" s="672"/>
      <c r="AA132" s="363"/>
      <c r="AB132" s="362"/>
      <c r="AC132" s="363"/>
    </row>
    <row r="133" spans="1:29" ht="22.9" hidden="1" customHeight="1">
      <c r="A133" s="367" t="s">
        <v>1128</v>
      </c>
      <c r="B133" s="1719"/>
      <c r="C133" s="1720"/>
      <c r="D133" s="1720"/>
      <c r="E133" s="1721"/>
      <c r="F133" s="792"/>
      <c r="G133" s="363"/>
      <c r="H133" s="792"/>
      <c r="I133" s="363"/>
      <c r="J133" s="672"/>
      <c r="K133" s="363"/>
      <c r="L133" s="362"/>
      <c r="M133" s="362"/>
      <c r="N133" s="792"/>
      <c r="O133" s="363"/>
      <c r="P133" s="792"/>
      <c r="Q133" s="363"/>
      <c r="R133" s="672"/>
      <c r="S133" s="363"/>
      <c r="T133" s="362"/>
      <c r="U133" s="363"/>
      <c r="V133" s="792"/>
      <c r="W133" s="363"/>
      <c r="X133" s="792"/>
      <c r="Y133" s="363"/>
      <c r="Z133" s="672"/>
      <c r="AA133" s="363"/>
      <c r="AB133" s="362"/>
      <c r="AC133" s="363"/>
    </row>
    <row r="134" spans="1:29" ht="22.9" hidden="1" customHeight="1">
      <c r="A134" s="367" t="s">
        <v>1129</v>
      </c>
      <c r="B134" s="1719"/>
      <c r="C134" s="1720"/>
      <c r="D134" s="1720"/>
      <c r="E134" s="1721"/>
      <c r="F134" s="792"/>
      <c r="G134" s="363"/>
      <c r="H134" s="792"/>
      <c r="I134" s="363"/>
      <c r="J134" s="672"/>
      <c r="K134" s="363"/>
      <c r="L134" s="362"/>
      <c r="M134" s="362"/>
      <c r="N134" s="792"/>
      <c r="O134" s="363"/>
      <c r="P134" s="792"/>
      <c r="Q134" s="363"/>
      <c r="R134" s="672"/>
      <c r="S134" s="363"/>
      <c r="T134" s="362"/>
      <c r="U134" s="363"/>
      <c r="V134" s="792"/>
      <c r="W134" s="363"/>
      <c r="X134" s="792"/>
      <c r="Y134" s="363"/>
      <c r="Z134" s="672"/>
      <c r="AA134" s="363"/>
      <c r="AB134" s="362"/>
      <c r="AC134" s="363"/>
    </row>
    <row r="135" spans="1:29">
      <c r="A135" s="366" t="s">
        <v>1130</v>
      </c>
      <c r="B135" s="1719"/>
      <c r="C135" s="1720"/>
      <c r="D135" s="1720"/>
      <c r="E135" s="1721"/>
      <c r="F135" s="792">
        <f>+'ESR2_Sales Forecast'!X12</f>
        <v>4</v>
      </c>
      <c r="G135" s="363"/>
      <c r="H135" s="792">
        <f>+'ESR2_Sales Forecast'!Y12</f>
        <v>8060</v>
      </c>
      <c r="I135" s="363"/>
      <c r="J135" s="672">
        <f>+'ESR2_Sales Forecast'!Z12</f>
        <v>17.098748077840021</v>
      </c>
      <c r="K135" s="363"/>
      <c r="L135" s="362">
        <f>+'ESR3_Curr Tariff'!O11</f>
        <v>12.10363670690411</v>
      </c>
      <c r="M135" s="362"/>
      <c r="N135" s="792">
        <f>+'ESR2_Sales Forecast'!AA12</f>
        <v>4</v>
      </c>
      <c r="O135" s="363">
        <f t="shared" ref="O135:U135" si="29">IFERROR(N135/F135-1,0)</f>
        <v>0</v>
      </c>
      <c r="P135" s="792">
        <f>+'ESR2_Sales Forecast'!AB12</f>
        <v>10659</v>
      </c>
      <c r="Q135" s="363">
        <f t="shared" si="29"/>
        <v>0.32245657568238206</v>
      </c>
      <c r="R135" s="672">
        <f>+'ESR2_Sales Forecast'!AC12</f>
        <v>60.897968118295069</v>
      </c>
      <c r="S135" s="363">
        <f t="shared" si="29"/>
        <v>2.5615454325114504</v>
      </c>
      <c r="T135" s="362">
        <f>+'ESR3_Curr Tariff'!AB11</f>
        <v>41.472285173503259</v>
      </c>
      <c r="U135" s="363">
        <f t="shared" si="29"/>
        <v>2.4264317558248254</v>
      </c>
      <c r="V135" s="792">
        <f>+'ESR2_Sales Forecast'!AD12</f>
        <v>4</v>
      </c>
      <c r="W135" s="363">
        <f t="shared" ref="W135" si="30">IFERROR(V135/N135-1,0)</f>
        <v>0</v>
      </c>
      <c r="X135" s="792">
        <f>+'ESR2_Sales Forecast'!AE12</f>
        <v>16556</v>
      </c>
      <c r="Y135" s="363">
        <f t="shared" ref="Y135" si="31">IFERROR(X135/P135-1,0)</f>
        <v>0.55324139225068025</v>
      </c>
      <c r="Z135" s="672">
        <f>+'ESR2_Sales Forecast'!AF12</f>
        <v>100.7306112</v>
      </c>
      <c r="AA135" s="363">
        <f t="shared" ref="AA135" si="32">IFERROR(Z135/R135-1,0)</f>
        <v>0.65408821201274758</v>
      </c>
      <c r="AB135" s="362">
        <f>+'ESR4_Prop Tariff'!O11</f>
        <v>76.400284484848484</v>
      </c>
      <c r="AC135" s="363">
        <f t="shared" ref="AC135" si="33">IFERROR(AB135/T135-1,0)</f>
        <v>0.84220098229988083</v>
      </c>
    </row>
    <row r="136" spans="1:29">
      <c r="A136" s="367" t="s">
        <v>1131</v>
      </c>
      <c r="B136" s="1719"/>
      <c r="C136" s="1720"/>
      <c r="D136" s="1720"/>
      <c r="E136" s="1721"/>
      <c r="F136" s="792"/>
      <c r="G136" s="363"/>
      <c r="H136" s="792"/>
      <c r="I136" s="363"/>
      <c r="J136" s="672"/>
      <c r="K136" s="363"/>
      <c r="L136" s="362"/>
      <c r="M136" s="362"/>
      <c r="N136" s="792"/>
      <c r="O136" s="363"/>
      <c r="P136" s="792"/>
      <c r="Q136" s="363"/>
      <c r="R136" s="672"/>
      <c r="S136" s="363"/>
      <c r="T136" s="362"/>
      <c r="U136" s="363"/>
      <c r="V136" s="792"/>
      <c r="W136" s="363"/>
      <c r="X136" s="792"/>
      <c r="Y136" s="363"/>
      <c r="Z136" s="672"/>
      <c r="AA136" s="363"/>
      <c r="AB136" s="362"/>
      <c r="AC136" s="363"/>
    </row>
    <row r="137" spans="1:29">
      <c r="A137" s="367" t="s">
        <v>1132</v>
      </c>
      <c r="B137" s="1719"/>
      <c r="C137" s="1720"/>
      <c r="D137" s="1720"/>
      <c r="E137" s="1721"/>
      <c r="F137" s="792"/>
      <c r="G137" s="363"/>
      <c r="H137" s="792"/>
      <c r="I137" s="363"/>
      <c r="J137" s="672"/>
      <c r="K137" s="363"/>
      <c r="L137" s="362"/>
      <c r="M137" s="362"/>
      <c r="N137" s="792"/>
      <c r="O137" s="363"/>
      <c r="P137" s="792"/>
      <c r="Q137" s="363"/>
      <c r="R137" s="672"/>
      <c r="S137" s="363"/>
      <c r="T137" s="362"/>
      <c r="U137" s="363"/>
      <c r="V137" s="792"/>
      <c r="W137" s="363"/>
      <c r="X137" s="792"/>
      <c r="Y137" s="363"/>
      <c r="Z137" s="672"/>
      <c r="AA137" s="363"/>
      <c r="AB137" s="362"/>
      <c r="AC137" s="363"/>
    </row>
    <row r="138" spans="1:29">
      <c r="A138" s="367" t="s">
        <v>1133</v>
      </c>
      <c r="B138" s="1719"/>
      <c r="C138" s="1720"/>
      <c r="D138" s="1720"/>
      <c r="E138" s="1721"/>
      <c r="F138" s="792"/>
      <c r="G138" s="363"/>
      <c r="H138" s="792"/>
      <c r="I138" s="363"/>
      <c r="J138" s="672"/>
      <c r="K138" s="363"/>
      <c r="L138" s="362"/>
      <c r="M138" s="362"/>
      <c r="N138" s="792"/>
      <c r="O138" s="363"/>
      <c r="P138" s="792"/>
      <c r="Q138" s="363"/>
      <c r="R138" s="672"/>
      <c r="S138" s="363"/>
      <c r="T138" s="362"/>
      <c r="U138" s="363"/>
      <c r="V138" s="792"/>
      <c r="W138" s="363"/>
      <c r="X138" s="792"/>
      <c r="Y138" s="363"/>
      <c r="Z138" s="672"/>
      <c r="AA138" s="363"/>
      <c r="AB138" s="362"/>
      <c r="AC138" s="363"/>
    </row>
    <row r="139" spans="1:29" ht="22.9" hidden="1" customHeight="1">
      <c r="A139" s="366" t="s">
        <v>1134</v>
      </c>
      <c r="B139" s="1719"/>
      <c r="C139" s="1720"/>
      <c r="D139" s="1720"/>
      <c r="E139" s="1721"/>
      <c r="F139" s="792"/>
      <c r="G139" s="363"/>
      <c r="H139" s="792"/>
      <c r="I139" s="363"/>
      <c r="J139" s="672"/>
      <c r="K139" s="363"/>
      <c r="L139" s="362"/>
      <c r="M139" s="362"/>
      <c r="N139" s="792"/>
      <c r="O139" s="363"/>
      <c r="P139" s="792"/>
      <c r="Q139" s="363"/>
      <c r="R139" s="672"/>
      <c r="S139" s="363"/>
      <c r="T139" s="362"/>
      <c r="U139" s="363"/>
      <c r="V139" s="792"/>
      <c r="W139" s="363"/>
      <c r="X139" s="792"/>
      <c r="Y139" s="363"/>
      <c r="Z139" s="672"/>
      <c r="AA139" s="363"/>
      <c r="AB139" s="362"/>
      <c r="AC139" s="363"/>
    </row>
    <row r="140" spans="1:29" ht="22.9" hidden="1" customHeight="1">
      <c r="A140" s="367" t="s">
        <v>1135</v>
      </c>
      <c r="B140" s="1719"/>
      <c r="C140" s="1720"/>
      <c r="D140" s="1720"/>
      <c r="E140" s="1721"/>
      <c r="F140" s="792"/>
      <c r="G140" s="363"/>
      <c r="H140" s="792"/>
      <c r="I140" s="363"/>
      <c r="J140" s="672"/>
      <c r="K140" s="363"/>
      <c r="L140" s="362"/>
      <c r="M140" s="362"/>
      <c r="N140" s="792"/>
      <c r="O140" s="363"/>
      <c r="P140" s="792"/>
      <c r="Q140" s="363"/>
      <c r="R140" s="672"/>
      <c r="S140" s="363"/>
      <c r="T140" s="362"/>
      <c r="U140" s="363"/>
      <c r="V140" s="792"/>
      <c r="W140" s="363"/>
      <c r="X140" s="792"/>
      <c r="Y140" s="363"/>
      <c r="Z140" s="672"/>
      <c r="AA140" s="363"/>
      <c r="AB140" s="362"/>
      <c r="AC140" s="363"/>
    </row>
    <row r="141" spans="1:29" ht="22.9" hidden="1" customHeight="1">
      <c r="A141" s="367" t="s">
        <v>1136</v>
      </c>
      <c r="B141" s="1719"/>
      <c r="C141" s="1720"/>
      <c r="D141" s="1720"/>
      <c r="E141" s="1721"/>
      <c r="F141" s="792"/>
      <c r="G141" s="363"/>
      <c r="H141" s="792"/>
      <c r="I141" s="363"/>
      <c r="J141" s="672"/>
      <c r="K141" s="363"/>
      <c r="L141" s="362"/>
      <c r="M141" s="362"/>
      <c r="N141" s="792"/>
      <c r="O141" s="363"/>
      <c r="P141" s="792"/>
      <c r="Q141" s="363"/>
      <c r="R141" s="672"/>
      <c r="S141" s="363"/>
      <c r="T141" s="362"/>
      <c r="U141" s="363"/>
      <c r="V141" s="792"/>
      <c r="W141" s="363"/>
      <c r="X141" s="792"/>
      <c r="Y141" s="363"/>
      <c r="Z141" s="672"/>
      <c r="AA141" s="363"/>
      <c r="AB141" s="362"/>
      <c r="AC141" s="363"/>
    </row>
    <row r="142" spans="1:29" ht="22.9" hidden="1" customHeight="1">
      <c r="A142" s="367" t="s">
        <v>1137</v>
      </c>
      <c r="B142" s="1719"/>
      <c r="C142" s="1720"/>
      <c r="D142" s="1720"/>
      <c r="E142" s="1721"/>
      <c r="F142" s="792"/>
      <c r="G142" s="363"/>
      <c r="H142" s="792"/>
      <c r="I142" s="363"/>
      <c r="J142" s="672"/>
      <c r="K142" s="363"/>
      <c r="L142" s="362"/>
      <c r="M142" s="362"/>
      <c r="N142" s="792"/>
      <c r="O142" s="363"/>
      <c r="P142" s="792"/>
      <c r="Q142" s="363"/>
      <c r="R142" s="672"/>
      <c r="S142" s="363"/>
      <c r="T142" s="362"/>
      <c r="U142" s="363"/>
      <c r="V142" s="792"/>
      <c r="W142" s="363"/>
      <c r="X142" s="792"/>
      <c r="Y142" s="363"/>
      <c r="Z142" s="672"/>
      <c r="AA142" s="363"/>
      <c r="AB142" s="362"/>
      <c r="AC142" s="363"/>
    </row>
    <row r="143" spans="1:29" ht="22.9" hidden="1" customHeight="1">
      <c r="A143" s="366" t="s">
        <v>1138</v>
      </c>
      <c r="B143" s="1719"/>
      <c r="C143" s="1720"/>
      <c r="D143" s="1720"/>
      <c r="E143" s="1721"/>
      <c r="F143" s="792"/>
      <c r="G143" s="363"/>
      <c r="H143" s="792"/>
      <c r="I143" s="363"/>
      <c r="J143" s="672"/>
      <c r="K143" s="363"/>
      <c r="L143" s="362"/>
      <c r="M143" s="362"/>
      <c r="N143" s="792"/>
      <c r="O143" s="363"/>
      <c r="P143" s="792"/>
      <c r="Q143" s="363"/>
      <c r="R143" s="672"/>
      <c r="S143" s="363"/>
      <c r="T143" s="362"/>
      <c r="U143" s="363"/>
      <c r="V143" s="792"/>
      <c r="W143" s="363"/>
      <c r="X143" s="792"/>
      <c r="Y143" s="363"/>
      <c r="Z143" s="672"/>
      <c r="AA143" s="363"/>
      <c r="AB143" s="362"/>
      <c r="AC143" s="363"/>
    </row>
    <row r="144" spans="1:29" ht="22.9" hidden="1" customHeight="1">
      <c r="A144" s="367" t="s">
        <v>1139</v>
      </c>
      <c r="B144" s="1719"/>
      <c r="C144" s="1720"/>
      <c r="D144" s="1720"/>
      <c r="E144" s="1721"/>
      <c r="F144" s="792"/>
      <c r="G144" s="363"/>
      <c r="H144" s="792"/>
      <c r="I144" s="363"/>
      <c r="J144" s="672"/>
      <c r="K144" s="363"/>
      <c r="L144" s="362"/>
      <c r="M144" s="362"/>
      <c r="N144" s="792"/>
      <c r="O144" s="363"/>
      <c r="P144" s="792"/>
      <c r="Q144" s="363"/>
      <c r="R144" s="672"/>
      <c r="S144" s="363"/>
      <c r="T144" s="362"/>
      <c r="U144" s="363"/>
      <c r="V144" s="792"/>
      <c r="W144" s="363"/>
      <c r="X144" s="792"/>
      <c r="Y144" s="363"/>
      <c r="Z144" s="672"/>
      <c r="AA144" s="363"/>
      <c r="AB144" s="362"/>
      <c r="AC144" s="363"/>
    </row>
    <row r="145" spans="1:29" ht="22.9" hidden="1" customHeight="1">
      <c r="A145" s="367" t="s">
        <v>1140</v>
      </c>
      <c r="B145" s="1719"/>
      <c r="C145" s="1720"/>
      <c r="D145" s="1720"/>
      <c r="E145" s="1721"/>
      <c r="F145" s="792"/>
      <c r="G145" s="363"/>
      <c r="H145" s="792"/>
      <c r="I145" s="363"/>
      <c r="J145" s="672"/>
      <c r="K145" s="363"/>
      <c r="L145" s="362"/>
      <c r="M145" s="362"/>
      <c r="N145" s="792"/>
      <c r="O145" s="363"/>
      <c r="P145" s="792"/>
      <c r="Q145" s="363"/>
      <c r="R145" s="672"/>
      <c r="S145" s="363"/>
      <c r="T145" s="362"/>
      <c r="U145" s="363"/>
      <c r="V145" s="792"/>
      <c r="W145" s="363"/>
      <c r="X145" s="792"/>
      <c r="Y145" s="363"/>
      <c r="Z145" s="672"/>
      <c r="AA145" s="363"/>
      <c r="AB145" s="362"/>
      <c r="AC145" s="363"/>
    </row>
    <row r="146" spans="1:29" ht="22.9" hidden="1" customHeight="1">
      <c r="A146" s="367" t="s">
        <v>1141</v>
      </c>
      <c r="B146" s="1719"/>
      <c r="C146" s="1720"/>
      <c r="D146" s="1720"/>
      <c r="E146" s="1721"/>
      <c r="F146" s="792"/>
      <c r="G146" s="363"/>
      <c r="H146" s="792"/>
      <c r="I146" s="363"/>
      <c r="J146" s="672"/>
      <c r="K146" s="363"/>
      <c r="L146" s="362"/>
      <c r="M146" s="362"/>
      <c r="N146" s="792"/>
      <c r="O146" s="363"/>
      <c r="P146" s="792"/>
      <c r="Q146" s="363"/>
      <c r="R146" s="672"/>
      <c r="S146" s="363"/>
      <c r="T146" s="362"/>
      <c r="U146" s="363"/>
      <c r="V146" s="792"/>
      <c r="W146" s="363"/>
      <c r="X146" s="792"/>
      <c r="Y146" s="363"/>
      <c r="Z146" s="672"/>
      <c r="AA146" s="363"/>
      <c r="AB146" s="362"/>
      <c r="AC146" s="363"/>
    </row>
    <row r="147" spans="1:29" ht="22.9" hidden="1" customHeight="1">
      <c r="A147" s="366" t="s">
        <v>1142</v>
      </c>
      <c r="B147" s="1719"/>
      <c r="C147" s="1720"/>
      <c r="D147" s="1720"/>
      <c r="E147" s="1721"/>
      <c r="F147" s="792"/>
      <c r="G147" s="363"/>
      <c r="H147" s="792"/>
      <c r="I147" s="363"/>
      <c r="J147" s="672"/>
      <c r="K147" s="363"/>
      <c r="L147" s="362"/>
      <c r="M147" s="362"/>
      <c r="N147" s="792"/>
      <c r="O147" s="363"/>
      <c r="P147" s="792"/>
      <c r="Q147" s="363"/>
      <c r="R147" s="672"/>
      <c r="S147" s="363"/>
      <c r="T147" s="362"/>
      <c r="U147" s="363"/>
      <c r="V147" s="792"/>
      <c r="W147" s="363"/>
      <c r="X147" s="792"/>
      <c r="Y147" s="363"/>
      <c r="Z147" s="672"/>
      <c r="AA147" s="363"/>
      <c r="AB147" s="362"/>
      <c r="AC147" s="363"/>
    </row>
    <row r="148" spans="1:29" ht="22.9" hidden="1" customHeight="1">
      <c r="A148" s="366" t="s">
        <v>1143</v>
      </c>
      <c r="B148" s="1719"/>
      <c r="C148" s="1720"/>
      <c r="D148" s="1720"/>
      <c r="E148" s="1721"/>
      <c r="F148" s="792"/>
      <c r="G148" s="363"/>
      <c r="H148" s="792"/>
      <c r="I148" s="363"/>
      <c r="J148" s="672"/>
      <c r="K148" s="363"/>
      <c r="L148" s="362"/>
      <c r="M148" s="362"/>
      <c r="N148" s="792"/>
      <c r="O148" s="363"/>
      <c r="P148" s="792"/>
      <c r="Q148" s="363"/>
      <c r="R148" s="672"/>
      <c r="S148" s="363"/>
      <c r="T148" s="362"/>
      <c r="U148" s="363"/>
      <c r="V148" s="792"/>
      <c r="W148" s="363"/>
      <c r="X148" s="792"/>
      <c r="Y148" s="363"/>
      <c r="Z148" s="672"/>
      <c r="AA148" s="363"/>
      <c r="AB148" s="362"/>
      <c r="AC148" s="363"/>
    </row>
    <row r="149" spans="1:29">
      <c r="A149" s="15" t="s">
        <v>1144</v>
      </c>
      <c r="B149" s="1722"/>
      <c r="C149" s="1723"/>
      <c r="D149" s="1723"/>
      <c r="E149" s="1724"/>
      <c r="F149" s="794">
        <f t="shared" ref="F149:T149" si="34">SUM(F135)</f>
        <v>4</v>
      </c>
      <c r="G149" s="361">
        <f t="shared" si="34"/>
        <v>0</v>
      </c>
      <c r="H149" s="794">
        <f t="shared" si="34"/>
        <v>8060</v>
      </c>
      <c r="I149" s="361">
        <f t="shared" si="34"/>
        <v>0</v>
      </c>
      <c r="J149" s="927">
        <f t="shared" si="34"/>
        <v>17.098748077840021</v>
      </c>
      <c r="K149" s="361">
        <f t="shared" si="34"/>
        <v>0</v>
      </c>
      <c r="L149" s="361">
        <f t="shared" si="34"/>
        <v>12.10363670690411</v>
      </c>
      <c r="M149" s="361">
        <f t="shared" si="34"/>
        <v>0</v>
      </c>
      <c r="N149" s="792">
        <f t="shared" si="34"/>
        <v>4</v>
      </c>
      <c r="O149" s="363">
        <f t="shared" ref="O149:U149" si="35">IFERROR(N149/F149-1,0)</f>
        <v>0</v>
      </c>
      <c r="P149" s="794">
        <f t="shared" si="34"/>
        <v>10659</v>
      </c>
      <c r="Q149" s="363">
        <f t="shared" si="35"/>
        <v>0.32245657568238206</v>
      </c>
      <c r="R149" s="927">
        <f t="shared" si="34"/>
        <v>60.897968118295069</v>
      </c>
      <c r="S149" s="363">
        <f t="shared" si="35"/>
        <v>2.5615454325114504</v>
      </c>
      <c r="T149" s="361">
        <f t="shared" si="34"/>
        <v>41.472285173503259</v>
      </c>
      <c r="U149" s="363">
        <f t="shared" si="35"/>
        <v>2.4264317558248254</v>
      </c>
      <c r="V149" s="792">
        <f t="shared" ref="V149" si="36">SUM(V135)</f>
        <v>4</v>
      </c>
      <c r="W149" s="363">
        <f t="shared" ref="W149" si="37">IFERROR(V149/N149-1,0)</f>
        <v>0</v>
      </c>
      <c r="X149" s="794">
        <f t="shared" ref="X149" si="38">SUM(X135)</f>
        <v>16556</v>
      </c>
      <c r="Y149" s="363">
        <f t="shared" ref="Y149" si="39">IFERROR(X149/P149-1,0)</f>
        <v>0.55324139225068025</v>
      </c>
      <c r="Z149" s="927">
        <f t="shared" ref="Z149" si="40">SUM(Z135)</f>
        <v>100.7306112</v>
      </c>
      <c r="AA149" s="363">
        <f t="shared" ref="AA149" si="41">IFERROR(Z149/R149-1,0)</f>
        <v>0.65408821201274758</v>
      </c>
      <c r="AB149" s="361">
        <f t="shared" ref="AB149" si="42">SUM(AB135)</f>
        <v>76.400284484848484</v>
      </c>
      <c r="AC149" s="363">
        <f t="shared" ref="AC149" si="43">IFERROR(AB149/T149-1,0)</f>
        <v>0.84220098229988083</v>
      </c>
    </row>
    <row r="150" spans="1:29" hidden="1">
      <c r="A150" s="274"/>
      <c r="B150" s="794"/>
      <c r="C150" s="361"/>
      <c r="D150" s="361"/>
      <c r="E150" s="361"/>
      <c r="F150" s="794"/>
      <c r="G150" s="361"/>
      <c r="H150" s="794"/>
      <c r="I150" s="361"/>
      <c r="J150" s="927"/>
      <c r="K150" s="361"/>
      <c r="L150" s="361"/>
      <c r="M150" s="361"/>
      <c r="N150" s="792"/>
      <c r="O150" s="361"/>
      <c r="P150" s="794"/>
      <c r="Q150" s="361"/>
      <c r="R150" s="927"/>
      <c r="S150" s="361"/>
      <c r="T150" s="361"/>
      <c r="U150" s="361"/>
      <c r="V150" s="792"/>
      <c r="W150" s="361"/>
      <c r="X150" s="794"/>
      <c r="Y150" s="361"/>
      <c r="Z150" s="361"/>
      <c r="AA150" s="361"/>
      <c r="AB150" s="361"/>
      <c r="AC150" s="361"/>
    </row>
    <row r="151" spans="1:29" hidden="1">
      <c r="A151" s="15" t="s">
        <v>1145</v>
      </c>
      <c r="B151" s="792"/>
      <c r="C151" s="362"/>
      <c r="D151" s="362"/>
      <c r="E151" s="362"/>
      <c r="F151" s="792"/>
      <c r="G151" s="362"/>
      <c r="H151" s="792"/>
      <c r="I151" s="362"/>
      <c r="J151" s="672"/>
      <c r="K151" s="362"/>
      <c r="L151" s="362"/>
      <c r="M151" s="362"/>
      <c r="N151" s="792"/>
      <c r="O151" s="362"/>
      <c r="P151" s="792"/>
      <c r="Q151" s="362"/>
      <c r="R151" s="672"/>
      <c r="S151" s="362"/>
      <c r="T151" s="362"/>
      <c r="U151" s="362"/>
      <c r="V151" s="792"/>
      <c r="W151" s="362"/>
      <c r="X151" s="792"/>
      <c r="Y151" s="362"/>
      <c r="Z151" s="362"/>
      <c r="AA151" s="362"/>
      <c r="AB151" s="362"/>
      <c r="AC151" s="362"/>
    </row>
    <row r="152" spans="1:29" hidden="1">
      <c r="A152" s="367" t="s">
        <v>1146</v>
      </c>
      <c r="B152" s="794"/>
      <c r="C152" s="361"/>
      <c r="D152" s="361"/>
      <c r="E152" s="361"/>
      <c r="F152" s="794"/>
      <c r="G152" s="361"/>
      <c r="H152" s="794"/>
      <c r="I152" s="361"/>
      <c r="J152" s="927"/>
      <c r="K152" s="361"/>
      <c r="L152" s="361"/>
      <c r="M152" s="361"/>
      <c r="N152" s="794"/>
      <c r="O152" s="361"/>
      <c r="P152" s="794"/>
      <c r="Q152" s="361"/>
      <c r="R152" s="927"/>
      <c r="S152" s="361"/>
      <c r="T152" s="361"/>
      <c r="U152" s="361"/>
      <c r="V152" s="794"/>
      <c r="W152" s="361"/>
      <c r="X152" s="794"/>
      <c r="Y152" s="361"/>
      <c r="Z152" s="361"/>
      <c r="AA152" s="361"/>
      <c r="AB152" s="361"/>
      <c r="AC152" s="361"/>
    </row>
    <row r="153" spans="1:29" hidden="1">
      <c r="A153" s="367" t="s">
        <v>1147</v>
      </c>
      <c r="B153" s="794"/>
      <c r="C153" s="361"/>
      <c r="D153" s="361"/>
      <c r="E153" s="361"/>
      <c r="F153" s="794"/>
      <c r="G153" s="361"/>
      <c r="H153" s="794"/>
      <c r="I153" s="361"/>
      <c r="J153" s="927"/>
      <c r="K153" s="361"/>
      <c r="L153" s="361"/>
      <c r="M153" s="361"/>
      <c r="N153" s="794"/>
      <c r="O153" s="361"/>
      <c r="P153" s="794"/>
      <c r="Q153" s="361"/>
      <c r="R153" s="927"/>
      <c r="S153" s="361"/>
      <c r="T153" s="361"/>
      <c r="U153" s="361"/>
      <c r="V153" s="794"/>
      <c r="W153" s="361"/>
      <c r="X153" s="794"/>
      <c r="Y153" s="361"/>
      <c r="Z153" s="361"/>
      <c r="AA153" s="361"/>
      <c r="AB153" s="361"/>
      <c r="AC153" s="361"/>
    </row>
    <row r="154" spans="1:29" hidden="1">
      <c r="A154" s="367" t="s">
        <v>1148</v>
      </c>
      <c r="B154" s="794"/>
      <c r="C154" s="361"/>
      <c r="D154" s="361"/>
      <c r="E154" s="361"/>
      <c r="F154" s="794"/>
      <c r="G154" s="361"/>
      <c r="H154" s="794"/>
      <c r="I154" s="361"/>
      <c r="J154" s="927"/>
      <c r="K154" s="361"/>
      <c r="L154" s="361"/>
      <c r="M154" s="361"/>
      <c r="N154" s="792"/>
      <c r="O154" s="361"/>
      <c r="P154" s="794"/>
      <c r="Q154" s="361"/>
      <c r="R154" s="927"/>
      <c r="S154" s="361"/>
      <c r="T154" s="361"/>
      <c r="U154" s="361"/>
      <c r="V154" s="792"/>
      <c r="W154" s="361"/>
      <c r="X154" s="794"/>
      <c r="Y154" s="361"/>
      <c r="Z154" s="361"/>
      <c r="AA154" s="361"/>
      <c r="AB154" s="361"/>
      <c r="AC154" s="361"/>
    </row>
    <row r="155" spans="1:29" hidden="1">
      <c r="A155" s="15" t="s">
        <v>1149</v>
      </c>
      <c r="B155" s="794"/>
      <c r="C155" s="361"/>
      <c r="D155" s="361"/>
      <c r="E155" s="361"/>
      <c r="F155" s="794"/>
      <c r="G155" s="361"/>
      <c r="H155" s="794"/>
      <c r="I155" s="361"/>
      <c r="J155" s="927"/>
      <c r="K155" s="361"/>
      <c r="L155" s="361"/>
      <c r="M155" s="361"/>
      <c r="N155" s="794"/>
      <c r="O155" s="361"/>
      <c r="P155" s="794"/>
      <c r="Q155" s="361"/>
      <c r="R155" s="927"/>
      <c r="S155" s="361"/>
      <c r="T155" s="361"/>
      <c r="U155" s="361"/>
      <c r="V155" s="794"/>
      <c r="W155" s="361"/>
      <c r="X155" s="794"/>
      <c r="Y155" s="361"/>
      <c r="Z155" s="361"/>
      <c r="AA155" s="361"/>
      <c r="AB155" s="361"/>
      <c r="AC155" s="361"/>
    </row>
    <row r="156" spans="1:29" ht="22.9" hidden="1" customHeight="1">
      <c r="A156" s="368"/>
      <c r="B156" s="794"/>
      <c r="C156" s="361"/>
      <c r="D156" s="361"/>
      <c r="E156" s="361"/>
      <c r="F156" s="794"/>
      <c r="G156" s="361"/>
      <c r="H156" s="794"/>
      <c r="I156" s="361"/>
      <c r="J156" s="927"/>
      <c r="K156" s="361"/>
      <c r="L156" s="361"/>
      <c r="M156" s="361"/>
      <c r="N156" s="794"/>
      <c r="O156" s="361"/>
      <c r="P156" s="794"/>
      <c r="Q156" s="361"/>
      <c r="R156" s="927"/>
      <c r="S156" s="361"/>
      <c r="T156" s="361"/>
      <c r="U156" s="361"/>
      <c r="V156" s="794"/>
      <c r="W156" s="361"/>
      <c r="X156" s="794"/>
      <c r="Y156" s="361"/>
      <c r="Z156" s="361"/>
      <c r="AA156" s="361"/>
      <c r="AB156" s="361"/>
      <c r="AC156" s="361"/>
    </row>
    <row r="157" spans="1:29" hidden="1">
      <c r="A157" s="15" t="s">
        <v>1150</v>
      </c>
      <c r="B157" s="792"/>
      <c r="C157" s="362"/>
      <c r="D157" s="362"/>
      <c r="E157" s="362"/>
      <c r="F157" s="792"/>
      <c r="G157" s="362"/>
      <c r="H157" s="792"/>
      <c r="I157" s="362"/>
      <c r="J157" s="672"/>
      <c r="K157" s="362"/>
      <c r="L157" s="362"/>
      <c r="M157" s="362"/>
      <c r="N157" s="794"/>
      <c r="O157" s="362"/>
      <c r="P157" s="792"/>
      <c r="Q157" s="362"/>
      <c r="R157" s="672"/>
      <c r="S157" s="362"/>
      <c r="T157" s="362"/>
      <c r="U157" s="362"/>
      <c r="V157" s="794"/>
      <c r="W157" s="362"/>
      <c r="X157" s="792"/>
      <c r="Y157" s="362"/>
      <c r="Z157" s="362"/>
      <c r="AA157" s="362"/>
      <c r="AB157" s="362"/>
      <c r="AC157" s="362"/>
    </row>
    <row r="158" spans="1:29" hidden="1">
      <c r="A158" s="367" t="s">
        <v>1151</v>
      </c>
      <c r="B158" s="794"/>
      <c r="C158" s="361"/>
      <c r="D158" s="361"/>
      <c r="E158" s="361"/>
      <c r="F158" s="794"/>
      <c r="G158" s="361"/>
      <c r="H158" s="794"/>
      <c r="I158" s="361"/>
      <c r="J158" s="927"/>
      <c r="K158" s="361"/>
      <c r="L158" s="361"/>
      <c r="M158" s="361"/>
      <c r="N158" s="794"/>
      <c r="O158" s="361"/>
      <c r="P158" s="794"/>
      <c r="Q158" s="361"/>
      <c r="R158" s="927"/>
      <c r="S158" s="361"/>
      <c r="T158" s="361"/>
      <c r="U158" s="361"/>
      <c r="V158" s="794"/>
      <c r="W158" s="361"/>
      <c r="X158" s="794"/>
      <c r="Y158" s="361"/>
      <c r="Z158" s="361"/>
      <c r="AA158" s="361"/>
      <c r="AB158" s="361"/>
      <c r="AC158" s="361"/>
    </row>
    <row r="159" spans="1:29" hidden="1">
      <c r="A159" s="367" t="s">
        <v>1152</v>
      </c>
      <c r="B159" s="794"/>
      <c r="C159" s="361"/>
      <c r="D159" s="361"/>
      <c r="E159" s="361"/>
      <c r="F159" s="794"/>
      <c r="G159" s="361"/>
      <c r="H159" s="794"/>
      <c r="I159" s="361"/>
      <c r="J159" s="927"/>
      <c r="K159" s="361"/>
      <c r="L159" s="361"/>
      <c r="M159" s="361"/>
      <c r="N159" s="794"/>
      <c r="O159" s="361"/>
      <c r="P159" s="794"/>
      <c r="Q159" s="361"/>
      <c r="R159" s="927"/>
      <c r="S159" s="361"/>
      <c r="T159" s="361"/>
      <c r="U159" s="361"/>
      <c r="V159" s="794"/>
      <c r="W159" s="361"/>
      <c r="X159" s="794"/>
      <c r="Y159" s="361"/>
      <c r="Z159" s="361"/>
      <c r="AA159" s="361"/>
      <c r="AB159" s="361"/>
      <c r="AC159" s="361"/>
    </row>
    <row r="160" spans="1:29" hidden="1">
      <c r="A160" s="367" t="s">
        <v>1153</v>
      </c>
      <c r="B160" s="794"/>
      <c r="C160" s="361"/>
      <c r="D160" s="361"/>
      <c r="E160" s="361"/>
      <c r="F160" s="794"/>
      <c r="G160" s="361"/>
      <c r="H160" s="794"/>
      <c r="I160" s="361"/>
      <c r="J160" s="927"/>
      <c r="K160" s="361"/>
      <c r="L160" s="361"/>
      <c r="M160" s="361"/>
      <c r="N160" s="792"/>
      <c r="O160" s="361"/>
      <c r="P160" s="794"/>
      <c r="Q160" s="361"/>
      <c r="R160" s="927"/>
      <c r="S160" s="361"/>
      <c r="T160" s="361"/>
      <c r="U160" s="361"/>
      <c r="V160" s="792"/>
      <c r="W160" s="361"/>
      <c r="X160" s="794"/>
      <c r="Y160" s="361"/>
      <c r="Z160" s="361"/>
      <c r="AA160" s="361"/>
      <c r="AB160" s="361"/>
      <c r="AC160" s="361"/>
    </row>
    <row r="161" spans="1:29" hidden="1">
      <c r="A161" s="15" t="s">
        <v>1154</v>
      </c>
      <c r="B161" s="794"/>
      <c r="C161" s="361"/>
      <c r="D161" s="361"/>
      <c r="E161" s="361"/>
      <c r="F161" s="794"/>
      <c r="G161" s="361"/>
      <c r="H161" s="794"/>
      <c r="I161" s="361"/>
      <c r="J161" s="927"/>
      <c r="K161" s="361"/>
      <c r="L161" s="361"/>
      <c r="M161" s="361"/>
      <c r="N161" s="794"/>
      <c r="O161" s="361"/>
      <c r="P161" s="794"/>
      <c r="Q161" s="361"/>
      <c r="R161" s="927"/>
      <c r="S161" s="361"/>
      <c r="T161" s="361"/>
      <c r="U161" s="361"/>
      <c r="V161" s="794"/>
      <c r="W161" s="361"/>
      <c r="X161" s="794"/>
      <c r="Y161" s="361"/>
      <c r="Z161" s="361"/>
      <c r="AA161" s="361"/>
      <c r="AB161" s="361"/>
      <c r="AC161" s="361"/>
    </row>
    <row r="162" spans="1:29" hidden="1">
      <c r="A162" s="274"/>
      <c r="B162" s="794"/>
      <c r="C162" s="361"/>
      <c r="D162" s="361"/>
      <c r="E162" s="361"/>
      <c r="F162" s="794"/>
      <c r="G162" s="361"/>
      <c r="H162" s="794"/>
      <c r="I162" s="361"/>
      <c r="J162" s="927"/>
      <c r="K162" s="361"/>
      <c r="L162" s="361"/>
      <c r="M162" s="361"/>
      <c r="N162" s="794"/>
      <c r="O162" s="361"/>
      <c r="P162" s="794"/>
      <c r="Q162" s="361"/>
      <c r="R162" s="927"/>
      <c r="S162" s="361"/>
      <c r="T162" s="361"/>
      <c r="U162" s="361"/>
      <c r="V162" s="794"/>
      <c r="W162" s="361"/>
      <c r="X162" s="794"/>
      <c r="Y162" s="361"/>
      <c r="Z162" s="361"/>
      <c r="AA162" s="361"/>
      <c r="AB162" s="361"/>
      <c r="AC162" s="361"/>
    </row>
    <row r="163" spans="1:29" hidden="1">
      <c r="A163" s="15" t="s">
        <v>1155</v>
      </c>
      <c r="B163" s="792"/>
      <c r="C163" s="362"/>
      <c r="D163" s="362"/>
      <c r="E163" s="362"/>
      <c r="F163" s="792"/>
      <c r="G163" s="362"/>
      <c r="H163" s="792"/>
      <c r="I163" s="362"/>
      <c r="J163" s="672"/>
      <c r="K163" s="362"/>
      <c r="L163" s="362"/>
      <c r="M163" s="362"/>
      <c r="N163" s="794"/>
      <c r="O163" s="362"/>
      <c r="P163" s="792"/>
      <c r="Q163" s="362"/>
      <c r="R163" s="672"/>
      <c r="S163" s="362"/>
      <c r="T163" s="362"/>
      <c r="U163" s="362"/>
      <c r="V163" s="794"/>
      <c r="W163" s="362"/>
      <c r="X163" s="792"/>
      <c r="Y163" s="362"/>
      <c r="Z163" s="362"/>
      <c r="AA163" s="362"/>
      <c r="AB163" s="362"/>
      <c r="AC163" s="362"/>
    </row>
    <row r="164" spans="1:29" hidden="1">
      <c r="A164" s="274" t="s">
        <v>1156</v>
      </c>
      <c r="B164" s="794"/>
      <c r="C164" s="361"/>
      <c r="D164" s="361"/>
      <c r="E164" s="361"/>
      <c r="F164" s="794"/>
      <c r="G164" s="361"/>
      <c r="H164" s="794"/>
      <c r="I164" s="361"/>
      <c r="J164" s="927"/>
      <c r="K164" s="361"/>
      <c r="L164" s="361"/>
      <c r="M164" s="361"/>
      <c r="N164" s="794"/>
      <c r="O164" s="361"/>
      <c r="P164" s="794"/>
      <c r="Q164" s="361"/>
      <c r="R164" s="927"/>
      <c r="S164" s="361"/>
      <c r="T164" s="361"/>
      <c r="U164" s="361"/>
      <c r="V164" s="794"/>
      <c r="W164" s="361"/>
      <c r="X164" s="794"/>
      <c r="Y164" s="361"/>
      <c r="Z164" s="361"/>
      <c r="AA164" s="361"/>
      <c r="AB164" s="361"/>
      <c r="AC164" s="361"/>
    </row>
    <row r="165" spans="1:29" ht="22.9" hidden="1" customHeight="1">
      <c r="A165" s="274"/>
      <c r="B165" s="794"/>
      <c r="C165" s="361"/>
      <c r="D165" s="361"/>
      <c r="E165" s="361"/>
      <c r="F165" s="794"/>
      <c r="G165" s="361"/>
      <c r="H165" s="794"/>
      <c r="I165" s="361"/>
      <c r="J165" s="927"/>
      <c r="K165" s="361"/>
      <c r="L165" s="361"/>
      <c r="M165" s="361"/>
      <c r="N165" s="794"/>
      <c r="O165" s="361"/>
      <c r="P165" s="794"/>
      <c r="Q165" s="361"/>
      <c r="R165" s="927"/>
      <c r="S165" s="361"/>
      <c r="T165" s="361"/>
      <c r="U165" s="361"/>
      <c r="V165" s="794"/>
      <c r="W165" s="361"/>
      <c r="X165" s="794"/>
      <c r="Y165" s="361"/>
      <c r="Z165" s="361"/>
      <c r="AA165" s="361"/>
      <c r="AB165" s="361"/>
      <c r="AC165" s="361"/>
    </row>
    <row r="166" spans="1:29" ht="22.9" hidden="1" customHeight="1">
      <c r="A166" s="15" t="s">
        <v>1157</v>
      </c>
      <c r="B166" s="792"/>
      <c r="C166" s="362"/>
      <c r="D166" s="362"/>
      <c r="E166" s="362"/>
      <c r="F166" s="792"/>
      <c r="G166" s="362"/>
      <c r="H166" s="792"/>
      <c r="I166" s="362"/>
      <c r="J166" s="672"/>
      <c r="K166" s="362"/>
      <c r="L166" s="362"/>
      <c r="M166" s="362"/>
      <c r="N166" s="792"/>
      <c r="O166" s="362"/>
      <c r="P166" s="792"/>
      <c r="Q166" s="362"/>
      <c r="R166" s="672"/>
      <c r="S166" s="362"/>
      <c r="T166" s="362"/>
      <c r="U166" s="362"/>
      <c r="V166" s="792"/>
      <c r="W166" s="362"/>
      <c r="X166" s="792"/>
      <c r="Y166" s="362"/>
      <c r="Z166" s="362"/>
      <c r="AA166" s="362"/>
      <c r="AB166" s="362"/>
      <c r="AC166" s="362"/>
    </row>
    <row r="167" spans="1:29" ht="22.9" hidden="1" customHeight="1">
      <c r="A167" s="54"/>
      <c r="B167" s="794"/>
      <c r="C167" s="361"/>
      <c r="D167" s="361"/>
      <c r="E167" s="361"/>
      <c r="F167" s="794"/>
      <c r="G167" s="361"/>
      <c r="H167" s="794"/>
      <c r="I167" s="361"/>
      <c r="J167" s="927"/>
      <c r="K167" s="361"/>
      <c r="L167" s="361"/>
      <c r="M167" s="361"/>
      <c r="N167" s="794"/>
      <c r="O167" s="361"/>
      <c r="P167" s="794"/>
      <c r="Q167" s="361"/>
      <c r="R167" s="927"/>
      <c r="S167" s="361"/>
      <c r="T167" s="361"/>
      <c r="U167" s="361"/>
      <c r="V167" s="794"/>
      <c r="W167" s="361"/>
      <c r="X167" s="794"/>
      <c r="Y167" s="361"/>
      <c r="Z167" s="361"/>
      <c r="AA167" s="361"/>
      <c r="AB167" s="361"/>
      <c r="AC167" s="361"/>
    </row>
    <row r="168" spans="1:29" ht="22.9" hidden="1" customHeight="1">
      <c r="A168" s="15" t="s">
        <v>1158</v>
      </c>
      <c r="B168" s="795"/>
      <c r="C168" s="362"/>
      <c r="D168" s="362"/>
      <c r="E168" s="365"/>
      <c r="F168" s="795"/>
      <c r="G168" s="365"/>
      <c r="H168" s="795"/>
      <c r="I168" s="365"/>
      <c r="J168" s="674"/>
      <c r="K168" s="365"/>
      <c r="L168" s="365"/>
      <c r="M168" s="365"/>
      <c r="N168" s="794"/>
      <c r="O168" s="365"/>
      <c r="P168" s="795"/>
      <c r="Q168" s="365"/>
      <c r="R168" s="674"/>
      <c r="S168" s="365"/>
      <c r="T168" s="365"/>
      <c r="U168" s="365"/>
      <c r="V168" s="794"/>
      <c r="W168" s="365"/>
      <c r="X168" s="795"/>
      <c r="Y168" s="365"/>
      <c r="Z168" s="365"/>
      <c r="AA168" s="365"/>
      <c r="AB168" s="365"/>
      <c r="AC168" s="365"/>
    </row>
    <row r="169" spans="1:29" ht="22.9" hidden="1" customHeight="1">
      <c r="A169" s="15" t="s">
        <v>1159</v>
      </c>
      <c r="B169" s="794"/>
      <c r="C169" s="361"/>
      <c r="D169" s="361"/>
      <c r="E169" s="361"/>
      <c r="F169" s="794"/>
      <c r="G169" s="361"/>
      <c r="H169" s="794"/>
      <c r="I169" s="361"/>
      <c r="J169" s="927"/>
      <c r="K169" s="361"/>
      <c r="L169" s="361"/>
      <c r="M169" s="361"/>
      <c r="N169" s="792"/>
      <c r="O169" s="361"/>
      <c r="P169" s="794"/>
      <c r="Q169" s="361"/>
      <c r="R169" s="927"/>
      <c r="S169" s="361"/>
      <c r="T169" s="361"/>
      <c r="U169" s="361"/>
      <c r="V169" s="792"/>
      <c r="W169" s="361"/>
      <c r="X169" s="794"/>
      <c r="Y169" s="361"/>
      <c r="Z169" s="361"/>
      <c r="AA169" s="361"/>
      <c r="AB169" s="361"/>
      <c r="AC169" s="361"/>
    </row>
    <row r="170" spans="1:29" ht="22.9" hidden="1" customHeight="1">
      <c r="A170" s="274" t="s">
        <v>929</v>
      </c>
      <c r="B170" s="794"/>
      <c r="C170" s="361"/>
      <c r="D170" s="361"/>
      <c r="E170" s="361"/>
      <c r="F170" s="794"/>
      <c r="G170" s="361"/>
      <c r="H170" s="794"/>
      <c r="I170" s="361"/>
      <c r="J170" s="927"/>
      <c r="K170" s="361"/>
      <c r="L170" s="361"/>
      <c r="M170" s="361"/>
      <c r="N170" s="794"/>
      <c r="O170" s="361"/>
      <c r="P170" s="794"/>
      <c r="Q170" s="361"/>
      <c r="R170" s="927"/>
      <c r="S170" s="361"/>
      <c r="T170" s="361"/>
      <c r="U170" s="361"/>
      <c r="V170" s="794"/>
      <c r="W170" s="361"/>
      <c r="X170" s="794"/>
      <c r="Y170" s="361"/>
      <c r="Z170" s="361"/>
      <c r="AA170" s="361"/>
      <c r="AB170" s="361"/>
      <c r="AC170" s="361"/>
    </row>
    <row r="171" spans="1:29" ht="22.9" hidden="1" customHeight="1">
      <c r="A171" s="274" t="s">
        <v>930</v>
      </c>
      <c r="B171" s="794"/>
      <c r="C171" s="361"/>
      <c r="D171" s="361"/>
      <c r="E171" s="361"/>
      <c r="F171" s="794"/>
      <c r="G171" s="361"/>
      <c r="H171" s="794"/>
      <c r="I171" s="361"/>
      <c r="J171" s="927"/>
      <c r="K171" s="361"/>
      <c r="L171" s="361"/>
      <c r="M171" s="361"/>
      <c r="N171" s="795"/>
      <c r="O171" s="361"/>
      <c r="P171" s="794"/>
      <c r="Q171" s="361"/>
      <c r="R171" s="927"/>
      <c r="S171" s="361"/>
      <c r="T171" s="361"/>
      <c r="U171" s="361"/>
      <c r="V171" s="795"/>
      <c r="W171" s="361"/>
      <c r="X171" s="794"/>
      <c r="Y171" s="361"/>
      <c r="Z171" s="361"/>
      <c r="AA171" s="361"/>
      <c r="AB171" s="361"/>
      <c r="AC171" s="361"/>
    </row>
    <row r="172" spans="1:29" ht="22.9" hidden="1" customHeight="1">
      <c r="A172" s="15" t="s">
        <v>931</v>
      </c>
      <c r="B172" s="794"/>
      <c r="C172" s="361"/>
      <c r="D172" s="361"/>
      <c r="E172" s="361"/>
      <c r="F172" s="794"/>
      <c r="G172" s="361"/>
      <c r="H172" s="794"/>
      <c r="I172" s="361"/>
      <c r="J172" s="927"/>
      <c r="K172" s="361"/>
      <c r="L172" s="361"/>
      <c r="M172" s="361"/>
      <c r="N172" s="794"/>
      <c r="O172" s="361"/>
      <c r="P172" s="794"/>
      <c r="Q172" s="361"/>
      <c r="R172" s="927"/>
      <c r="S172" s="361"/>
      <c r="T172" s="361"/>
      <c r="U172" s="361"/>
      <c r="V172" s="794"/>
      <c r="W172" s="361"/>
      <c r="X172" s="794"/>
      <c r="Y172" s="361"/>
      <c r="Z172" s="361"/>
      <c r="AA172" s="361"/>
      <c r="AB172" s="361"/>
      <c r="AC172" s="361"/>
    </row>
    <row r="173" spans="1:29" ht="22.9" hidden="1" customHeight="1">
      <c r="A173" s="274" t="s">
        <v>932</v>
      </c>
      <c r="B173" s="794"/>
      <c r="C173" s="361"/>
      <c r="D173" s="361"/>
      <c r="E173" s="361"/>
      <c r="F173" s="794"/>
      <c r="G173" s="361"/>
      <c r="H173" s="794"/>
      <c r="I173" s="361"/>
      <c r="J173" s="927"/>
      <c r="K173" s="361"/>
      <c r="L173" s="361"/>
      <c r="M173" s="361"/>
      <c r="N173" s="794"/>
      <c r="O173" s="361"/>
      <c r="P173" s="794"/>
      <c r="Q173" s="361"/>
      <c r="R173" s="927"/>
      <c r="S173" s="361"/>
      <c r="T173" s="361"/>
      <c r="U173" s="361"/>
      <c r="V173" s="794"/>
      <c r="W173" s="361"/>
      <c r="X173" s="794"/>
      <c r="Y173" s="361"/>
      <c r="Z173" s="361"/>
      <c r="AA173" s="361"/>
      <c r="AB173" s="361"/>
      <c r="AC173" s="361"/>
    </row>
    <row r="174" spans="1:29" ht="22.9" hidden="1" customHeight="1">
      <c r="A174" s="274" t="s">
        <v>933</v>
      </c>
      <c r="B174" s="794"/>
      <c r="C174" s="361"/>
      <c r="D174" s="361"/>
      <c r="E174" s="361"/>
      <c r="F174" s="794"/>
      <c r="G174" s="361"/>
      <c r="H174" s="794"/>
      <c r="I174" s="361"/>
      <c r="J174" s="927"/>
      <c r="K174" s="361"/>
      <c r="L174" s="361"/>
      <c r="M174" s="361"/>
      <c r="N174" s="794"/>
      <c r="O174" s="361"/>
      <c r="P174" s="794"/>
      <c r="Q174" s="361"/>
      <c r="R174" s="927"/>
      <c r="S174" s="361"/>
      <c r="T174" s="361"/>
      <c r="U174" s="361"/>
      <c r="V174" s="794"/>
      <c r="W174" s="361"/>
      <c r="X174" s="794"/>
      <c r="Y174" s="361"/>
      <c r="Z174" s="361"/>
      <c r="AA174" s="361"/>
      <c r="AB174" s="361"/>
      <c r="AC174" s="361"/>
    </row>
    <row r="175" spans="1:29" ht="14.25" customHeight="1">
      <c r="A175" s="274"/>
      <c r="B175" s="794"/>
      <c r="C175" s="361"/>
      <c r="D175" s="361"/>
      <c r="E175" s="361"/>
      <c r="F175" s="794"/>
      <c r="G175" s="361"/>
      <c r="H175" s="794"/>
      <c r="I175" s="361"/>
      <c r="J175" s="927"/>
      <c r="K175" s="361"/>
      <c r="L175" s="361"/>
      <c r="M175" s="361"/>
      <c r="N175" s="794"/>
      <c r="O175" s="361"/>
      <c r="P175" s="794"/>
      <c r="Q175" s="361"/>
      <c r="R175" s="927"/>
      <c r="S175" s="361"/>
      <c r="T175" s="361"/>
      <c r="U175" s="361"/>
      <c r="V175" s="794"/>
      <c r="W175" s="361"/>
      <c r="X175" s="794"/>
      <c r="Y175" s="361"/>
      <c r="Z175" s="361"/>
      <c r="AA175" s="361"/>
      <c r="AB175" s="361"/>
      <c r="AC175" s="361"/>
    </row>
    <row r="176" spans="1:29" s="2" customFormat="1">
      <c r="A176" s="358" t="s">
        <v>188</v>
      </c>
      <c r="B176" s="796">
        <f>+B110+B128+B149</f>
        <v>0</v>
      </c>
      <c r="C176" s="791">
        <f t="shared" ref="C176:E176" si="44">+C110+C128+C149</f>
        <v>0</v>
      </c>
      <c r="D176" s="791">
        <f t="shared" si="44"/>
        <v>0</v>
      </c>
      <c r="E176" s="791">
        <f t="shared" si="44"/>
        <v>0</v>
      </c>
      <c r="F176" s="796">
        <f t="shared" ref="F176:T176" si="45">+F110+F128+F149</f>
        <v>5</v>
      </c>
      <c r="G176" s="791">
        <f t="shared" si="45"/>
        <v>0</v>
      </c>
      <c r="H176" s="796">
        <f t="shared" si="45"/>
        <v>8090</v>
      </c>
      <c r="I176" s="791">
        <f t="shared" si="45"/>
        <v>0</v>
      </c>
      <c r="J176" s="928">
        <f t="shared" si="45"/>
        <v>37.540040376137725</v>
      </c>
      <c r="K176" s="791">
        <f t="shared" si="45"/>
        <v>0</v>
      </c>
      <c r="L176" s="791">
        <f t="shared" si="45"/>
        <v>29.901866872785767</v>
      </c>
      <c r="M176" s="791">
        <f t="shared" si="45"/>
        <v>0</v>
      </c>
      <c r="N176" s="796">
        <f t="shared" si="45"/>
        <v>5</v>
      </c>
      <c r="O176" s="798">
        <f t="shared" ref="O176:U176" si="46">IFERROR(N176/F176-1,0)</f>
        <v>0</v>
      </c>
      <c r="P176" s="796">
        <f t="shared" si="45"/>
        <v>10694</v>
      </c>
      <c r="Q176" s="929">
        <f t="shared" si="46"/>
        <v>0.32187886279357225</v>
      </c>
      <c r="R176" s="928">
        <f t="shared" si="45"/>
        <v>61.157459186384571</v>
      </c>
      <c r="S176" s="929">
        <f t="shared" si="46"/>
        <v>0.62912608973269046</v>
      </c>
      <c r="T176" s="791">
        <f t="shared" si="45"/>
        <v>41.67454256159602</v>
      </c>
      <c r="U176" s="798">
        <f t="shared" si="46"/>
        <v>0.39371039068884284</v>
      </c>
      <c r="V176" s="796">
        <f t="shared" ref="V176" si="47">+V110+V128+V149</f>
        <v>5</v>
      </c>
      <c r="W176" s="798">
        <f t="shared" ref="W176" si="48">IFERROR(V176/N176-1,0)</f>
        <v>0</v>
      </c>
      <c r="X176" s="796">
        <f t="shared" ref="X176" si="49">+X110+X128+X149</f>
        <v>16591</v>
      </c>
      <c r="Y176" s="798">
        <f t="shared" ref="Y176" si="50">IFERROR(X176/P176-1,0)</f>
        <v>0.55143070880867784</v>
      </c>
      <c r="Z176" s="791">
        <f t="shared" ref="Z176" si="51">+Z110+Z128+Z149</f>
        <v>100.9912212</v>
      </c>
      <c r="AA176" s="798">
        <f t="shared" ref="AA176" si="52">IFERROR(Z176/R176-1,0)</f>
        <v>0.65133121198212862</v>
      </c>
      <c r="AB176" s="791">
        <f t="shared" ref="AB176" si="53">+AB110+AB128+AB149</f>
        <v>76.628204909090911</v>
      </c>
      <c r="AC176" s="798">
        <f t="shared" ref="AC176" si="54">IFERROR(AB176/T176-1,0)</f>
        <v>0.83872935847664065</v>
      </c>
    </row>
    <row r="177" spans="1:29" s="2" customFormat="1">
      <c r="A177" s="1712" t="s">
        <v>1217</v>
      </c>
      <c r="B177" s="1713"/>
      <c r="C177" s="1713"/>
      <c r="D177" s="1713"/>
      <c r="E177" s="1713"/>
      <c r="F177" s="1713"/>
      <c r="G177" s="1713"/>
      <c r="H177" s="1713"/>
      <c r="I177" s="1714"/>
      <c r="J177" s="359"/>
      <c r="K177" s="360"/>
      <c r="L177" s="359"/>
      <c r="M177" s="359"/>
      <c r="N177" s="359"/>
      <c r="O177" s="360"/>
      <c r="P177" s="359"/>
      <c r="Q177" s="360"/>
      <c r="R177" s="359"/>
      <c r="S177" s="360"/>
      <c r="T177" s="359"/>
      <c r="U177" s="360"/>
      <c r="V177" s="359"/>
      <c r="W177" s="360"/>
      <c r="X177" s="359"/>
      <c r="Y177" s="360"/>
      <c r="Z177" s="359"/>
      <c r="AA177" s="360"/>
      <c r="AB177" s="359"/>
      <c r="AC177" s="360"/>
    </row>
    <row r="178" spans="1:29" ht="12" customHeight="1">
      <c r="A178" s="1628" t="s">
        <v>1246</v>
      </c>
      <c r="B178" s="1629"/>
      <c r="C178" s="1629"/>
      <c r="D178" s="1629"/>
      <c r="E178" s="1629"/>
      <c r="F178" s="1629"/>
      <c r="G178" s="1629"/>
      <c r="H178" s="1629"/>
      <c r="I178" s="1629"/>
      <c r="J178" s="1629"/>
      <c r="K178" s="1629"/>
      <c r="L178" s="1629"/>
      <c r="M178" s="1629"/>
      <c r="N178" s="1629"/>
      <c r="O178" s="1629"/>
      <c r="P178" s="1629"/>
      <c r="Q178" s="1629"/>
      <c r="R178" s="1629"/>
      <c r="S178" s="1629"/>
      <c r="T178" s="1629"/>
      <c r="U178" s="1629"/>
      <c r="V178" s="1629"/>
      <c r="W178" s="1629"/>
      <c r="X178" s="1629"/>
      <c r="Y178" s="1629"/>
      <c r="Z178" s="1629"/>
      <c r="AA178" s="1629"/>
      <c r="AB178" s="1629"/>
      <c r="AC178" s="1629"/>
    </row>
  </sheetData>
  <mergeCells count="18">
    <mergeCell ref="A178:AC178"/>
    <mergeCell ref="M5:M6"/>
    <mergeCell ref="A177:I177"/>
    <mergeCell ref="Y5:Y6"/>
    <mergeCell ref="AA5:AA6"/>
    <mergeCell ref="AC5:AC6"/>
    <mergeCell ref="B6:D6"/>
    <mergeCell ref="B107:E149"/>
    <mergeCell ref="A4:AC4"/>
    <mergeCell ref="A5:A7"/>
    <mergeCell ref="G5:G6"/>
    <mergeCell ref="I5:I6"/>
    <mergeCell ref="K5:K6"/>
    <mergeCell ref="O5:O6"/>
    <mergeCell ref="Q5:Q6"/>
    <mergeCell ref="S5:S6"/>
    <mergeCell ref="U5:U6"/>
    <mergeCell ref="W5:W6"/>
  </mergeCells>
  <printOptions horizontalCentered="1"/>
  <pageMargins left="0.11811023622047245" right="0.11811023622047245" top="0.55118110236220474" bottom="0.15748031496062992" header="0.31496062992125984" footer="0.31496062992125984"/>
  <pageSetup paperSize="5" scale="50" orientation="landscape" r:id="rId1"/>
  <rowBreaks count="1" manualBreakCount="1">
    <brk id="69"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00FFFF"/>
    <pageSetUpPr fitToPage="1"/>
  </sheetPr>
  <dimension ref="A1:J189"/>
  <sheetViews>
    <sheetView showGridLines="0" topLeftCell="A111" zoomScale="75" zoomScaleNormal="75" zoomScaleSheetLayoutView="70" workbookViewId="0">
      <selection activeCell="T96" sqref="T96"/>
    </sheetView>
  </sheetViews>
  <sheetFormatPr defaultColWidth="9.19921875" defaultRowHeight="13.9"/>
  <cols>
    <col min="1" max="1" width="51.796875" style="380" customWidth="1"/>
    <col min="2" max="2" width="15.19921875" style="380" customWidth="1"/>
    <col min="3" max="3" width="20.19921875" style="380" customWidth="1"/>
    <col min="4" max="4" width="16.19921875" style="380" customWidth="1"/>
    <col min="5" max="16384" width="9.19921875" style="380"/>
  </cols>
  <sheetData>
    <row r="1" spans="1:10" ht="14.25">
      <c r="A1" s="219" t="s">
        <v>1836</v>
      </c>
      <c r="B1" s="219"/>
      <c r="C1" s="219"/>
      <c r="D1" s="219"/>
      <c r="E1" s="219"/>
      <c r="F1" s="219"/>
      <c r="G1" s="219"/>
      <c r="H1" s="219"/>
      <c r="I1" s="219"/>
      <c r="J1" s="219"/>
    </row>
    <row r="2" spans="1:10" s="377" customFormat="1" ht="14.25">
      <c r="A2" s="241" t="str">
        <f>+'BS1'!A2</f>
        <v>NIDP DEVELOPERS PRIVATE LIMITED</v>
      </c>
      <c r="B2" s="34"/>
      <c r="C2" s="9"/>
      <c r="D2" s="9"/>
      <c r="E2"/>
      <c r="F2"/>
      <c r="G2"/>
      <c r="H2"/>
      <c r="I2"/>
      <c r="J2"/>
    </row>
    <row r="3" spans="1:10" s="377" customFormat="1" ht="14.25">
      <c r="A3" s="277" t="s">
        <v>1835</v>
      </c>
      <c r="B3" s="277"/>
      <c r="C3" s="277"/>
      <c r="D3" s="277"/>
      <c r="E3" s="219"/>
      <c r="F3" s="219"/>
      <c r="G3" s="219"/>
      <c r="H3" s="219"/>
      <c r="I3" s="219"/>
      <c r="J3" s="219"/>
    </row>
    <row r="4" spans="1:10" ht="14.25">
      <c r="A4" s="378"/>
      <c r="B4" s="379"/>
      <c r="C4" s="379"/>
      <c r="D4" s="379"/>
    </row>
    <row r="5" spans="1:10" ht="42.75">
      <c r="A5" s="381" t="s">
        <v>144</v>
      </c>
      <c r="B5" s="382" t="s">
        <v>1225</v>
      </c>
      <c r="C5" s="382" t="s">
        <v>1226</v>
      </c>
      <c r="D5" s="382" t="s">
        <v>1733</v>
      </c>
    </row>
    <row r="6" spans="1:10" ht="14.25">
      <c r="A6" s="15" t="s">
        <v>1019</v>
      </c>
      <c r="B6" s="328"/>
      <c r="C6" s="328"/>
      <c r="D6" s="328"/>
    </row>
    <row r="7" spans="1:10" ht="14.25">
      <c r="A7" s="366" t="s">
        <v>1020</v>
      </c>
      <c r="B7" s="1725" t="s">
        <v>2062</v>
      </c>
      <c r="C7" s="1726"/>
      <c r="D7" s="1727"/>
    </row>
    <row r="8" spans="1:10" ht="14.25">
      <c r="A8" s="274" t="s">
        <v>1021</v>
      </c>
      <c r="B8" s="1728"/>
      <c r="C8" s="1729"/>
      <c r="D8" s="1730"/>
    </row>
    <row r="9" spans="1:10" ht="14.25">
      <c r="A9" s="274" t="s">
        <v>1022</v>
      </c>
      <c r="B9" s="1728"/>
      <c r="C9" s="1729"/>
      <c r="D9" s="1730"/>
    </row>
    <row r="10" spans="1:10" ht="14.25">
      <c r="A10" s="366" t="s">
        <v>1023</v>
      </c>
      <c r="B10" s="1728"/>
      <c r="C10" s="1729"/>
      <c r="D10" s="1730"/>
    </row>
    <row r="11" spans="1:10" ht="14.25">
      <c r="A11" s="367" t="s">
        <v>1024</v>
      </c>
      <c r="B11" s="1728"/>
      <c r="C11" s="1729"/>
      <c r="D11" s="1730"/>
    </row>
    <row r="12" spans="1:10" ht="14.25">
      <c r="A12" s="367" t="s">
        <v>1025</v>
      </c>
      <c r="B12" s="1728"/>
      <c r="C12" s="1729"/>
      <c r="D12" s="1730"/>
    </row>
    <row r="13" spans="1:10" ht="14.25">
      <c r="A13" s="367" t="s">
        <v>1026</v>
      </c>
      <c r="B13" s="1728"/>
      <c r="C13" s="1729"/>
      <c r="D13" s="1730"/>
    </row>
    <row r="14" spans="1:10" ht="14.25">
      <c r="A14" s="367" t="s">
        <v>1027</v>
      </c>
      <c r="B14" s="1728"/>
      <c r="C14" s="1729"/>
      <c r="D14" s="1730"/>
    </row>
    <row r="15" spans="1:10" ht="14.25">
      <c r="A15" s="367" t="s">
        <v>1028</v>
      </c>
      <c r="B15" s="1728"/>
      <c r="C15" s="1729"/>
      <c r="D15" s="1730"/>
    </row>
    <row r="16" spans="1:10" ht="14.25">
      <c r="A16" s="367"/>
      <c r="B16" s="1728"/>
      <c r="C16" s="1729"/>
      <c r="D16" s="1730"/>
    </row>
    <row r="17" spans="1:4" ht="14.25">
      <c r="A17" s="366" t="s">
        <v>1029</v>
      </c>
      <c r="B17" s="1728"/>
      <c r="C17" s="1729"/>
      <c r="D17" s="1730"/>
    </row>
    <row r="18" spans="1:4" ht="14.25">
      <c r="A18" s="367"/>
      <c r="B18" s="1728"/>
      <c r="C18" s="1729"/>
      <c r="D18" s="1730"/>
    </row>
    <row r="19" spans="1:4" ht="14.25">
      <c r="A19" s="366" t="s">
        <v>1030</v>
      </c>
      <c r="B19" s="1728"/>
      <c r="C19" s="1729"/>
      <c r="D19" s="1730"/>
    </row>
    <row r="20" spans="1:4" ht="14.25">
      <c r="A20" s="368" t="s">
        <v>1031</v>
      </c>
      <c r="B20" s="1728"/>
      <c r="C20" s="1729"/>
      <c r="D20" s="1730"/>
    </row>
    <row r="21" spans="1:4" ht="14.25">
      <c r="A21" s="368" t="s">
        <v>1032</v>
      </c>
      <c r="B21" s="1728"/>
      <c r="C21" s="1729"/>
      <c r="D21" s="1730"/>
    </row>
    <row r="22" spans="1:4" ht="14.25">
      <c r="A22" s="368" t="s">
        <v>1033</v>
      </c>
      <c r="B22" s="1728"/>
      <c r="C22" s="1729"/>
      <c r="D22" s="1730"/>
    </row>
    <row r="23" spans="1:4" ht="14.25">
      <c r="A23" s="368" t="s">
        <v>1034</v>
      </c>
      <c r="B23" s="1728"/>
      <c r="C23" s="1729"/>
      <c r="D23" s="1730"/>
    </row>
    <row r="24" spans="1:4" ht="14.25">
      <c r="A24" s="367"/>
      <c r="B24" s="1728"/>
      <c r="C24" s="1729"/>
      <c r="D24" s="1730"/>
    </row>
    <row r="25" spans="1:4" ht="14.25">
      <c r="A25" s="366" t="s">
        <v>1035</v>
      </c>
      <c r="B25" s="1728"/>
      <c r="C25" s="1729"/>
      <c r="D25" s="1730"/>
    </row>
    <row r="26" spans="1:4" ht="14.25">
      <c r="A26" s="18" t="s">
        <v>1036</v>
      </c>
      <c r="B26" s="1728"/>
      <c r="C26" s="1729"/>
      <c r="D26" s="1730"/>
    </row>
    <row r="27" spans="1:4" ht="14.25">
      <c r="A27" s="18" t="s">
        <v>1037</v>
      </c>
      <c r="B27" s="1728"/>
      <c r="C27" s="1729"/>
      <c r="D27" s="1730"/>
    </row>
    <row r="28" spans="1:4" ht="28.5">
      <c r="A28" s="36" t="s">
        <v>1245</v>
      </c>
      <c r="B28" s="1728"/>
      <c r="C28" s="1729"/>
      <c r="D28" s="1730"/>
    </row>
    <row r="29" spans="1:4" ht="14.25">
      <c r="A29" s="369" t="s">
        <v>1038</v>
      </c>
      <c r="B29" s="1728"/>
      <c r="C29" s="1729"/>
      <c r="D29" s="1730"/>
    </row>
    <row r="30" spans="1:4" ht="14.25">
      <c r="A30" s="18"/>
      <c r="B30" s="1728"/>
      <c r="C30" s="1729"/>
      <c r="D30" s="1730"/>
    </row>
    <row r="31" spans="1:4" ht="14.25">
      <c r="A31" s="18" t="s">
        <v>1039</v>
      </c>
      <c r="B31" s="1728"/>
      <c r="C31" s="1729"/>
      <c r="D31" s="1730"/>
    </row>
    <row r="32" spans="1:4" ht="14.25">
      <c r="A32" s="369" t="s">
        <v>1040</v>
      </c>
      <c r="B32" s="1728"/>
      <c r="C32" s="1729"/>
      <c r="D32" s="1730"/>
    </row>
    <row r="33" spans="1:4" ht="14.25">
      <c r="A33" s="18" t="s">
        <v>1041</v>
      </c>
      <c r="B33" s="1728"/>
      <c r="C33" s="1729"/>
      <c r="D33" s="1730"/>
    </row>
    <row r="34" spans="1:4" ht="14.25">
      <c r="A34" s="18" t="s">
        <v>1042</v>
      </c>
      <c r="B34" s="1728"/>
      <c r="C34" s="1729"/>
      <c r="D34" s="1730"/>
    </row>
    <row r="35" spans="1:4" ht="14.25">
      <c r="A35" s="369" t="s">
        <v>1043</v>
      </c>
      <c r="B35" s="1728"/>
      <c r="C35" s="1729"/>
      <c r="D35" s="1730"/>
    </row>
    <row r="36" spans="1:4" ht="14.25">
      <c r="A36" s="447" t="s">
        <v>1044</v>
      </c>
      <c r="B36" s="1728"/>
      <c r="C36" s="1729"/>
      <c r="D36" s="1730"/>
    </row>
    <row r="37" spans="1:4" ht="14.25">
      <c r="A37" s="369" t="s">
        <v>1045</v>
      </c>
      <c r="B37" s="1728"/>
      <c r="C37" s="1729"/>
      <c r="D37" s="1730"/>
    </row>
    <row r="38" spans="1:4" ht="14.25">
      <c r="A38" s="18" t="s">
        <v>1046</v>
      </c>
      <c r="B38" s="1728"/>
      <c r="C38" s="1729"/>
      <c r="D38" s="1730"/>
    </row>
    <row r="39" spans="1:4" ht="14.25">
      <c r="A39" s="18" t="s">
        <v>1047</v>
      </c>
      <c r="B39" s="1728"/>
      <c r="C39" s="1729"/>
      <c r="D39" s="1730"/>
    </row>
    <row r="40" spans="1:4" ht="14.25">
      <c r="A40" s="18" t="s">
        <v>1048</v>
      </c>
      <c r="B40" s="1728"/>
      <c r="C40" s="1729"/>
      <c r="D40" s="1730"/>
    </row>
    <row r="41" spans="1:4" ht="14.25">
      <c r="A41" s="369" t="s">
        <v>1049</v>
      </c>
      <c r="B41" s="1728"/>
      <c r="C41" s="1729"/>
      <c r="D41" s="1730"/>
    </row>
    <row r="42" spans="1:4" ht="14.25">
      <c r="A42" s="18"/>
      <c r="B42" s="1728"/>
      <c r="C42" s="1729"/>
      <c r="D42" s="1730"/>
    </row>
    <row r="43" spans="1:4" ht="14.25">
      <c r="A43" s="18" t="s">
        <v>1050</v>
      </c>
      <c r="B43" s="1728"/>
      <c r="C43" s="1729"/>
      <c r="D43" s="1730"/>
    </row>
    <row r="44" spans="1:4" ht="14.25">
      <c r="A44" s="18" t="s">
        <v>1051</v>
      </c>
      <c r="B44" s="1728"/>
      <c r="C44" s="1729"/>
      <c r="D44" s="1730"/>
    </row>
    <row r="45" spans="1:4" ht="14.25">
      <c r="A45" s="18" t="s">
        <v>1052</v>
      </c>
      <c r="B45" s="1728"/>
      <c r="C45" s="1729"/>
      <c r="D45" s="1730"/>
    </row>
    <row r="46" spans="1:4" ht="14.25">
      <c r="A46" s="18" t="s">
        <v>1053</v>
      </c>
      <c r="B46" s="1728"/>
      <c r="C46" s="1729"/>
      <c r="D46" s="1730"/>
    </row>
    <row r="47" spans="1:4" ht="14.25">
      <c r="A47" s="18" t="s">
        <v>1054</v>
      </c>
      <c r="B47" s="1728"/>
      <c r="C47" s="1729"/>
      <c r="D47" s="1730"/>
    </row>
    <row r="48" spans="1:4" ht="14.25">
      <c r="A48" s="18" t="s">
        <v>1055</v>
      </c>
      <c r="B48" s="1728"/>
      <c r="C48" s="1729"/>
      <c r="D48" s="1730"/>
    </row>
    <row r="49" spans="1:4" ht="14.25">
      <c r="A49" s="18" t="s">
        <v>1056</v>
      </c>
      <c r="B49" s="1728"/>
      <c r="C49" s="1729"/>
      <c r="D49" s="1730"/>
    </row>
    <row r="50" spans="1:4" ht="14.25">
      <c r="A50" s="15" t="s">
        <v>1057</v>
      </c>
      <c r="B50" s="1728"/>
      <c r="C50" s="1729"/>
      <c r="D50" s="1730"/>
    </row>
    <row r="51" spans="1:4" ht="14.25">
      <c r="A51" s="368"/>
      <c r="B51" s="1728"/>
      <c r="C51" s="1729"/>
      <c r="D51" s="1730"/>
    </row>
    <row r="52" spans="1:4" ht="14.25">
      <c r="A52" s="15" t="s">
        <v>1058</v>
      </c>
      <c r="B52" s="1728"/>
      <c r="C52" s="1729"/>
      <c r="D52" s="1730"/>
    </row>
    <row r="53" spans="1:4" ht="14.25">
      <c r="A53" s="366" t="s">
        <v>1059</v>
      </c>
      <c r="B53" s="1728"/>
      <c r="C53" s="1729"/>
      <c r="D53" s="1730"/>
    </row>
    <row r="54" spans="1:4" ht="14.25">
      <c r="A54" s="274" t="s">
        <v>1060</v>
      </c>
      <c r="B54" s="1728"/>
      <c r="C54" s="1729"/>
      <c r="D54" s="1730"/>
    </row>
    <row r="55" spans="1:4" ht="14.25">
      <c r="A55" s="274" t="s">
        <v>1061</v>
      </c>
      <c r="B55" s="1728"/>
      <c r="C55" s="1729"/>
      <c r="D55" s="1730"/>
    </row>
    <row r="56" spans="1:4" ht="14.25">
      <c r="A56" s="274" t="s">
        <v>1062</v>
      </c>
      <c r="B56" s="1728"/>
      <c r="C56" s="1729"/>
      <c r="D56" s="1730"/>
    </row>
    <row r="57" spans="1:4" ht="14.25">
      <c r="A57" s="366" t="s">
        <v>1063</v>
      </c>
      <c r="B57" s="1728"/>
      <c r="C57" s="1729"/>
      <c r="D57" s="1730"/>
    </row>
    <row r="58" spans="1:4" ht="14.25">
      <c r="A58" s="274" t="s">
        <v>1064</v>
      </c>
      <c r="B58" s="1728"/>
      <c r="C58" s="1729"/>
      <c r="D58" s="1730"/>
    </row>
    <row r="59" spans="1:4" ht="14.25">
      <c r="A59" s="274" t="s">
        <v>1065</v>
      </c>
      <c r="B59" s="1728"/>
      <c r="C59" s="1729"/>
      <c r="D59" s="1730"/>
    </row>
    <row r="60" spans="1:4" ht="14.25">
      <c r="A60" s="274"/>
      <c r="B60" s="1728"/>
      <c r="C60" s="1729"/>
      <c r="D60" s="1730"/>
    </row>
    <row r="61" spans="1:4" ht="14.25">
      <c r="A61" s="15" t="s">
        <v>1066</v>
      </c>
      <c r="B61" s="1728"/>
      <c r="C61" s="1729"/>
      <c r="D61" s="1730"/>
    </row>
    <row r="62" spans="1:4" ht="14.25">
      <c r="A62" s="368"/>
      <c r="B62" s="1728"/>
      <c r="C62" s="1729"/>
      <c r="D62" s="1730"/>
    </row>
    <row r="63" spans="1:4" ht="14.25">
      <c r="A63" s="15" t="s">
        <v>1067</v>
      </c>
      <c r="B63" s="1728"/>
      <c r="C63" s="1729"/>
      <c r="D63" s="1730"/>
    </row>
    <row r="64" spans="1:4" ht="14.25">
      <c r="A64" s="18" t="s">
        <v>1068</v>
      </c>
      <c r="B64" s="1728"/>
      <c r="C64" s="1729"/>
      <c r="D64" s="1730"/>
    </row>
    <row r="65" spans="1:4" ht="14.25">
      <c r="A65" s="18" t="s">
        <v>1069</v>
      </c>
      <c r="B65" s="1728"/>
      <c r="C65" s="1729"/>
      <c r="D65" s="1730"/>
    </row>
    <row r="66" spans="1:4" ht="14.25">
      <c r="A66" s="18" t="s">
        <v>1070</v>
      </c>
      <c r="B66" s="1728"/>
      <c r="C66" s="1729"/>
      <c r="D66" s="1730"/>
    </row>
    <row r="67" spans="1:4" ht="14.25">
      <c r="A67" s="369" t="s">
        <v>1071</v>
      </c>
      <c r="B67" s="1728"/>
      <c r="C67" s="1729"/>
      <c r="D67" s="1730"/>
    </row>
    <row r="68" spans="1:4" ht="14.25">
      <c r="A68" s="18"/>
      <c r="B68" s="1728"/>
      <c r="C68" s="1729"/>
      <c r="D68" s="1730"/>
    </row>
    <row r="69" spans="1:4" ht="14.25">
      <c r="A69" s="15" t="s">
        <v>1072</v>
      </c>
      <c r="B69" s="1728"/>
      <c r="C69" s="1729"/>
      <c r="D69" s="1730"/>
    </row>
    <row r="70" spans="1:4" ht="14.25">
      <c r="A70" s="369" t="s">
        <v>1073</v>
      </c>
      <c r="B70" s="1728"/>
      <c r="C70" s="1729"/>
      <c r="D70" s="1730"/>
    </row>
    <row r="71" spans="1:4" ht="14.25">
      <c r="A71" s="18" t="s">
        <v>1074</v>
      </c>
      <c r="B71" s="1728"/>
      <c r="C71" s="1729"/>
      <c r="D71" s="1730"/>
    </row>
    <row r="72" spans="1:4" ht="14.25">
      <c r="A72" s="18" t="s">
        <v>1075</v>
      </c>
      <c r="B72" s="1728"/>
      <c r="C72" s="1729"/>
      <c r="D72" s="1730"/>
    </row>
    <row r="73" spans="1:4" ht="14.25">
      <c r="A73" s="18" t="s">
        <v>1076</v>
      </c>
      <c r="B73" s="1728"/>
      <c r="C73" s="1729"/>
      <c r="D73" s="1730"/>
    </row>
    <row r="74" spans="1:4" ht="14.25">
      <c r="A74" s="369" t="s">
        <v>1077</v>
      </c>
      <c r="B74" s="1728"/>
      <c r="C74" s="1729"/>
      <c r="D74" s="1730"/>
    </row>
    <row r="75" spans="1:4" ht="14.25">
      <c r="A75" s="18" t="s">
        <v>1078</v>
      </c>
      <c r="B75" s="1728"/>
      <c r="C75" s="1729"/>
      <c r="D75" s="1730"/>
    </row>
    <row r="76" spans="1:4" ht="14.25">
      <c r="A76" s="18" t="s">
        <v>1079</v>
      </c>
      <c r="B76" s="1728"/>
      <c r="C76" s="1729"/>
      <c r="D76" s="1730"/>
    </row>
    <row r="77" spans="1:4" ht="14.25">
      <c r="A77" s="18" t="s">
        <v>1080</v>
      </c>
      <c r="B77" s="1728"/>
      <c r="C77" s="1729"/>
      <c r="D77" s="1730"/>
    </row>
    <row r="78" spans="1:4" ht="14.25">
      <c r="A78" s="369" t="s">
        <v>1081</v>
      </c>
      <c r="B78" s="1728"/>
      <c r="C78" s="1729"/>
      <c r="D78" s="1730"/>
    </row>
    <row r="79" spans="1:4" ht="14.25">
      <c r="A79" s="18" t="s">
        <v>1082</v>
      </c>
      <c r="B79" s="1728"/>
      <c r="C79" s="1729"/>
      <c r="D79" s="1730"/>
    </row>
    <row r="80" spans="1:4" ht="14.25">
      <c r="A80" s="18" t="s">
        <v>1083</v>
      </c>
      <c r="B80" s="1728"/>
      <c r="C80" s="1729"/>
      <c r="D80" s="1730"/>
    </row>
    <row r="81" spans="1:4" ht="14.25">
      <c r="A81" s="18" t="s">
        <v>1084</v>
      </c>
      <c r="B81" s="1728"/>
      <c r="C81" s="1729"/>
      <c r="D81" s="1730"/>
    </row>
    <row r="82" spans="1:4" ht="14.25">
      <c r="A82" s="369" t="s">
        <v>1085</v>
      </c>
      <c r="B82" s="1728"/>
      <c r="C82" s="1729"/>
      <c r="D82" s="1730"/>
    </row>
    <row r="83" spans="1:4" ht="14.25">
      <c r="A83" s="18" t="s">
        <v>1086</v>
      </c>
      <c r="B83" s="1728"/>
      <c r="C83" s="1729"/>
      <c r="D83" s="1730"/>
    </row>
    <row r="84" spans="1:4" ht="14.25">
      <c r="A84" s="18" t="s">
        <v>1087</v>
      </c>
      <c r="B84" s="1728"/>
      <c r="C84" s="1729"/>
      <c r="D84" s="1730"/>
    </row>
    <row r="85" spans="1:4" ht="14.25">
      <c r="A85" s="18" t="s">
        <v>1088</v>
      </c>
      <c r="B85" s="1728"/>
      <c r="C85" s="1729"/>
      <c r="D85" s="1730"/>
    </row>
    <row r="86" spans="1:4" ht="14.25">
      <c r="A86" s="369" t="s">
        <v>1089</v>
      </c>
      <c r="B86" s="1728"/>
      <c r="C86" s="1729"/>
      <c r="D86" s="1730"/>
    </row>
    <row r="87" spans="1:4" ht="14.25">
      <c r="A87" s="18"/>
      <c r="B87" s="1728"/>
      <c r="C87" s="1729"/>
      <c r="D87" s="1730"/>
    </row>
    <row r="88" spans="1:4" ht="14.25">
      <c r="A88" s="15" t="s">
        <v>1090</v>
      </c>
      <c r="B88" s="1728"/>
      <c r="C88" s="1729"/>
      <c r="D88" s="1730"/>
    </row>
    <row r="89" spans="1:4" ht="14.25">
      <c r="A89" s="368" t="s">
        <v>1091</v>
      </c>
      <c r="B89" s="1728"/>
      <c r="C89" s="1729"/>
      <c r="D89" s="1730"/>
    </row>
    <row r="90" spans="1:4" ht="14.25">
      <c r="A90" s="368" t="s">
        <v>1092</v>
      </c>
      <c r="B90" s="1728"/>
      <c r="C90" s="1729"/>
      <c r="D90" s="1730"/>
    </row>
    <row r="91" spans="1:4" ht="14.25">
      <c r="A91" s="368" t="s">
        <v>1093</v>
      </c>
      <c r="B91" s="1728"/>
      <c r="C91" s="1729"/>
      <c r="D91" s="1730"/>
    </row>
    <row r="92" spans="1:4" ht="14.25">
      <c r="A92" s="368" t="s">
        <v>1094</v>
      </c>
      <c r="B92" s="1728"/>
      <c r="C92" s="1729"/>
      <c r="D92" s="1730"/>
    </row>
    <row r="93" spans="1:4" ht="14.25">
      <c r="A93" s="368" t="s">
        <v>1095</v>
      </c>
      <c r="B93" s="1728"/>
      <c r="C93" s="1729"/>
      <c r="D93" s="1730"/>
    </row>
    <row r="94" spans="1:4" ht="14.25">
      <c r="A94" s="368" t="s">
        <v>1096</v>
      </c>
      <c r="B94" s="1728"/>
      <c r="C94" s="1729"/>
      <c r="D94" s="1730"/>
    </row>
    <row r="95" spans="1:4" ht="14.25">
      <c r="A95" s="15" t="s">
        <v>1097</v>
      </c>
      <c r="B95" s="1728"/>
      <c r="C95" s="1729"/>
      <c r="D95" s="1730"/>
    </row>
    <row r="96" spans="1:4" ht="14.25">
      <c r="A96" s="368"/>
      <c r="B96" s="1728"/>
      <c r="C96" s="1729"/>
      <c r="D96" s="1730"/>
    </row>
    <row r="97" spans="1:4" ht="14.25">
      <c r="A97" s="15" t="s">
        <v>1098</v>
      </c>
      <c r="B97" s="1728"/>
      <c r="C97" s="1729"/>
      <c r="D97" s="1730"/>
    </row>
    <row r="98" spans="1:4" ht="14.25">
      <c r="A98" s="367" t="s">
        <v>1099</v>
      </c>
      <c r="B98" s="1728"/>
      <c r="C98" s="1729"/>
      <c r="D98" s="1730"/>
    </row>
    <row r="99" spans="1:4" ht="14.25">
      <c r="A99" s="274" t="s">
        <v>1100</v>
      </c>
      <c r="B99" s="1728"/>
      <c r="C99" s="1729"/>
      <c r="D99" s="1730"/>
    </row>
    <row r="100" spans="1:4" ht="14.25">
      <c r="A100" s="367" t="s">
        <v>1101</v>
      </c>
      <c r="B100" s="1728"/>
      <c r="C100" s="1729"/>
      <c r="D100" s="1730"/>
    </row>
    <row r="101" spans="1:4" ht="14.25">
      <c r="A101" s="15" t="s">
        <v>1102</v>
      </c>
      <c r="B101" s="1728"/>
      <c r="C101" s="1729"/>
      <c r="D101" s="1730"/>
    </row>
    <row r="102" spans="1:4" ht="14.25">
      <c r="A102" s="274"/>
      <c r="B102" s="1728"/>
      <c r="C102" s="1729"/>
      <c r="D102" s="1730"/>
    </row>
    <row r="103" spans="1:4" ht="14.25">
      <c r="A103" s="15" t="s">
        <v>1103</v>
      </c>
      <c r="B103" s="1728"/>
      <c r="C103" s="1729"/>
      <c r="D103" s="1730"/>
    </row>
    <row r="104" spans="1:4" ht="14.25">
      <c r="A104" s="367" t="s">
        <v>1104</v>
      </c>
      <c r="B104" s="1728"/>
      <c r="C104" s="1729"/>
      <c r="D104" s="1730"/>
    </row>
    <row r="105" spans="1:4" ht="14.25">
      <c r="A105" s="367" t="s">
        <v>1105</v>
      </c>
      <c r="B105" s="1728"/>
      <c r="C105" s="1729"/>
      <c r="D105" s="1730"/>
    </row>
    <row r="106" spans="1:4" ht="14.25">
      <c r="A106" s="367" t="s">
        <v>1106</v>
      </c>
      <c r="B106" s="1728"/>
      <c r="C106" s="1729"/>
      <c r="D106" s="1730"/>
    </row>
    <row r="107" spans="1:4" ht="14.25">
      <c r="A107" s="367" t="s">
        <v>1107</v>
      </c>
      <c r="B107" s="1728"/>
      <c r="C107" s="1729"/>
      <c r="D107" s="1730"/>
    </row>
    <row r="108" spans="1:4" ht="14.25">
      <c r="A108" s="15" t="s">
        <v>1108</v>
      </c>
      <c r="B108" s="1728"/>
      <c r="C108" s="1729"/>
      <c r="D108" s="1730"/>
    </row>
    <row r="109" spans="1:4" ht="14.25">
      <c r="A109" s="274"/>
      <c r="B109" s="1728"/>
      <c r="C109" s="1729"/>
      <c r="D109" s="1730"/>
    </row>
    <row r="110" spans="1:4" ht="14.25">
      <c r="A110" s="15" t="s">
        <v>1109</v>
      </c>
      <c r="B110" s="1728"/>
      <c r="C110" s="1729"/>
      <c r="D110" s="1730"/>
    </row>
    <row r="111" spans="1:4" ht="14.25">
      <c r="A111" s="367" t="s">
        <v>1110</v>
      </c>
      <c r="B111" s="1728"/>
      <c r="C111" s="1729"/>
      <c r="D111" s="1730"/>
    </row>
    <row r="112" spans="1:4" ht="14.25">
      <c r="A112" s="367" t="s">
        <v>1111</v>
      </c>
      <c r="B112" s="1728"/>
      <c r="C112" s="1729"/>
      <c r="D112" s="1730"/>
    </row>
    <row r="113" spans="1:4" ht="14.25">
      <c r="A113" s="367" t="s">
        <v>1112</v>
      </c>
      <c r="B113" s="1728"/>
      <c r="C113" s="1729"/>
      <c r="D113" s="1730"/>
    </row>
    <row r="114" spans="1:4" ht="14.25">
      <c r="A114" s="367" t="s">
        <v>1113</v>
      </c>
      <c r="B114" s="1728"/>
      <c r="C114" s="1729"/>
      <c r="D114" s="1730"/>
    </row>
    <row r="115" spans="1:4" ht="14.25">
      <c r="A115" s="367" t="s">
        <v>1114</v>
      </c>
      <c r="B115" s="1728"/>
      <c r="C115" s="1729"/>
      <c r="D115" s="1730"/>
    </row>
    <row r="116" spans="1:4" ht="14.25">
      <c r="A116" s="367" t="s">
        <v>1115</v>
      </c>
      <c r="B116" s="1728"/>
      <c r="C116" s="1729"/>
      <c r="D116" s="1730"/>
    </row>
    <row r="117" spans="1:4" ht="14.25">
      <c r="A117" s="367" t="s">
        <v>1116</v>
      </c>
      <c r="B117" s="1728"/>
      <c r="C117" s="1729"/>
      <c r="D117" s="1730"/>
    </row>
    <row r="118" spans="1:4" ht="14.25">
      <c r="A118" s="367" t="s">
        <v>1117</v>
      </c>
      <c r="B118" s="1728"/>
      <c r="C118" s="1729"/>
      <c r="D118" s="1730"/>
    </row>
    <row r="119" spans="1:4" ht="14.25">
      <c r="A119" s="15" t="s">
        <v>1118</v>
      </c>
      <c r="B119" s="1728"/>
      <c r="C119" s="1729"/>
      <c r="D119" s="1730"/>
    </row>
    <row r="120" spans="1:4" ht="14.25">
      <c r="A120" s="368"/>
      <c r="B120" s="1728"/>
      <c r="C120" s="1729"/>
      <c r="D120" s="1730"/>
    </row>
    <row r="121" spans="1:4" ht="14.25">
      <c r="A121" s="15" t="s">
        <v>1119</v>
      </c>
      <c r="B121" s="1728"/>
      <c r="C121" s="1729"/>
      <c r="D121" s="1730"/>
    </row>
    <row r="122" spans="1:4" ht="14.25">
      <c r="A122" s="367" t="s">
        <v>1120</v>
      </c>
      <c r="B122" s="1728"/>
      <c r="C122" s="1729"/>
      <c r="D122" s="1730"/>
    </row>
    <row r="123" spans="1:4" ht="14.25">
      <c r="A123" s="367" t="s">
        <v>1121</v>
      </c>
      <c r="B123" s="1728"/>
      <c r="C123" s="1729"/>
      <c r="D123" s="1730"/>
    </row>
    <row r="124" spans="1:4" ht="14.25">
      <c r="A124" s="367" t="s">
        <v>1122</v>
      </c>
      <c r="B124" s="1728"/>
      <c r="C124" s="1729"/>
      <c r="D124" s="1730"/>
    </row>
    <row r="125" spans="1:4" ht="14.25">
      <c r="A125" s="367" t="s">
        <v>1123</v>
      </c>
      <c r="B125" s="1728"/>
      <c r="C125" s="1729"/>
      <c r="D125" s="1730"/>
    </row>
    <row r="126" spans="1:4" ht="14.25">
      <c r="A126" s="15" t="s">
        <v>1124</v>
      </c>
      <c r="B126" s="1728"/>
      <c r="C126" s="1729"/>
      <c r="D126" s="1730"/>
    </row>
    <row r="127" spans="1:4" ht="14.25">
      <c r="A127" s="274"/>
      <c r="B127" s="1728"/>
      <c r="C127" s="1729"/>
      <c r="D127" s="1730"/>
    </row>
    <row r="128" spans="1:4" ht="14.25">
      <c r="A128" s="15" t="s">
        <v>1125</v>
      </c>
      <c r="B128" s="1728"/>
      <c r="C128" s="1729"/>
      <c r="D128" s="1730"/>
    </row>
    <row r="129" spans="1:4" ht="14.25">
      <c r="A129" s="366" t="s">
        <v>1126</v>
      </c>
      <c r="B129" s="1728"/>
      <c r="C129" s="1729"/>
      <c r="D129" s="1730"/>
    </row>
    <row r="130" spans="1:4" ht="14.25">
      <c r="A130" s="367" t="s">
        <v>1127</v>
      </c>
      <c r="B130" s="1728"/>
      <c r="C130" s="1729"/>
      <c r="D130" s="1730"/>
    </row>
    <row r="131" spans="1:4" ht="14.25">
      <c r="A131" s="367" t="s">
        <v>1128</v>
      </c>
      <c r="B131" s="1728"/>
      <c r="C131" s="1729"/>
      <c r="D131" s="1730"/>
    </row>
    <row r="132" spans="1:4" ht="14.25">
      <c r="A132" s="367" t="s">
        <v>1129</v>
      </c>
      <c r="B132" s="1728"/>
      <c r="C132" s="1729"/>
      <c r="D132" s="1730"/>
    </row>
    <row r="133" spans="1:4" ht="14.25">
      <c r="A133" s="366" t="s">
        <v>1130</v>
      </c>
      <c r="B133" s="1728"/>
      <c r="C133" s="1729"/>
      <c r="D133" s="1730"/>
    </row>
    <row r="134" spans="1:4" ht="14.25">
      <c r="A134" s="367" t="s">
        <v>1131</v>
      </c>
      <c r="B134" s="1728"/>
      <c r="C134" s="1729"/>
      <c r="D134" s="1730"/>
    </row>
    <row r="135" spans="1:4" ht="14.25">
      <c r="A135" s="367" t="s">
        <v>1132</v>
      </c>
      <c r="B135" s="1728"/>
      <c r="C135" s="1729"/>
      <c r="D135" s="1730"/>
    </row>
    <row r="136" spans="1:4" ht="14.25">
      <c r="A136" s="367" t="s">
        <v>1133</v>
      </c>
      <c r="B136" s="1728"/>
      <c r="C136" s="1729"/>
      <c r="D136" s="1730"/>
    </row>
    <row r="137" spans="1:4" ht="14.25">
      <c r="A137" s="366" t="s">
        <v>1134</v>
      </c>
      <c r="B137" s="1728"/>
      <c r="C137" s="1729"/>
      <c r="D137" s="1730"/>
    </row>
    <row r="138" spans="1:4" ht="14.25">
      <c r="A138" s="367" t="s">
        <v>1135</v>
      </c>
      <c r="B138" s="1728"/>
      <c r="C138" s="1729"/>
      <c r="D138" s="1730"/>
    </row>
    <row r="139" spans="1:4" ht="14.25">
      <c r="A139" s="367" t="s">
        <v>1136</v>
      </c>
      <c r="B139" s="1728"/>
      <c r="C139" s="1729"/>
      <c r="D139" s="1730"/>
    </row>
    <row r="140" spans="1:4" ht="14.25">
      <c r="A140" s="367" t="s">
        <v>1137</v>
      </c>
      <c r="B140" s="1728"/>
      <c r="C140" s="1729"/>
      <c r="D140" s="1730"/>
    </row>
    <row r="141" spans="1:4" ht="14.25">
      <c r="A141" s="366" t="s">
        <v>1138</v>
      </c>
      <c r="B141" s="1728"/>
      <c r="C141" s="1729"/>
      <c r="D141" s="1730"/>
    </row>
    <row r="142" spans="1:4" ht="14.25">
      <c r="A142" s="367" t="s">
        <v>1139</v>
      </c>
      <c r="B142" s="1728"/>
      <c r="C142" s="1729"/>
      <c r="D142" s="1730"/>
    </row>
    <row r="143" spans="1:4" ht="14.25">
      <c r="A143" s="367" t="s">
        <v>1140</v>
      </c>
      <c r="B143" s="1728"/>
      <c r="C143" s="1729"/>
      <c r="D143" s="1730"/>
    </row>
    <row r="144" spans="1:4" ht="14.25">
      <c r="A144" s="367" t="s">
        <v>1141</v>
      </c>
      <c r="B144" s="1728"/>
      <c r="C144" s="1729"/>
      <c r="D144" s="1730"/>
    </row>
    <row r="145" spans="1:4" ht="14.25">
      <c r="A145" s="366" t="s">
        <v>1142</v>
      </c>
      <c r="B145" s="1728"/>
      <c r="C145" s="1729"/>
      <c r="D145" s="1730"/>
    </row>
    <row r="146" spans="1:4" ht="14.25">
      <c r="A146" s="366" t="s">
        <v>1143</v>
      </c>
      <c r="B146" s="1728"/>
      <c r="C146" s="1729"/>
      <c r="D146" s="1730"/>
    </row>
    <row r="147" spans="1:4" ht="14.25">
      <c r="A147" s="15" t="s">
        <v>1144</v>
      </c>
      <c r="B147" s="1728"/>
      <c r="C147" s="1729"/>
      <c r="D147" s="1730"/>
    </row>
    <row r="148" spans="1:4" ht="14.25">
      <c r="A148" s="274"/>
      <c r="B148" s="1728"/>
      <c r="C148" s="1729"/>
      <c r="D148" s="1730"/>
    </row>
    <row r="149" spans="1:4" ht="14.25">
      <c r="A149" s="15" t="s">
        <v>1145</v>
      </c>
      <c r="B149" s="1728"/>
      <c r="C149" s="1729"/>
      <c r="D149" s="1730"/>
    </row>
    <row r="150" spans="1:4" ht="14.25">
      <c r="A150" s="367" t="s">
        <v>1146</v>
      </c>
      <c r="B150" s="1728"/>
      <c r="C150" s="1729"/>
      <c r="D150" s="1730"/>
    </row>
    <row r="151" spans="1:4" ht="14.25">
      <c r="A151" s="367" t="s">
        <v>1147</v>
      </c>
      <c r="B151" s="1728"/>
      <c r="C151" s="1729"/>
      <c r="D151" s="1730"/>
    </row>
    <row r="152" spans="1:4" ht="14.25">
      <c r="A152" s="367" t="s">
        <v>1148</v>
      </c>
      <c r="B152" s="1728"/>
      <c r="C152" s="1729"/>
      <c r="D152" s="1730"/>
    </row>
    <row r="153" spans="1:4" ht="14.25">
      <c r="A153" s="15" t="s">
        <v>1149</v>
      </c>
      <c r="B153" s="1728"/>
      <c r="C153" s="1729"/>
      <c r="D153" s="1730"/>
    </row>
    <row r="154" spans="1:4" ht="14.25">
      <c r="A154" s="368"/>
      <c r="B154" s="1728"/>
      <c r="C154" s="1729"/>
      <c r="D154" s="1730"/>
    </row>
    <row r="155" spans="1:4" ht="14.25">
      <c r="A155" s="15" t="s">
        <v>1150</v>
      </c>
      <c r="B155" s="1728"/>
      <c r="C155" s="1729"/>
      <c r="D155" s="1730"/>
    </row>
    <row r="156" spans="1:4" ht="14.25">
      <c r="A156" s="367" t="s">
        <v>1151</v>
      </c>
      <c r="B156" s="1728"/>
      <c r="C156" s="1729"/>
      <c r="D156" s="1730"/>
    </row>
    <row r="157" spans="1:4" ht="14.25">
      <c r="A157" s="367" t="s">
        <v>1152</v>
      </c>
      <c r="B157" s="1728"/>
      <c r="C157" s="1729"/>
      <c r="D157" s="1730"/>
    </row>
    <row r="158" spans="1:4" ht="14.25">
      <c r="A158" s="367" t="s">
        <v>1153</v>
      </c>
      <c r="B158" s="1728"/>
      <c r="C158" s="1729"/>
      <c r="D158" s="1730"/>
    </row>
    <row r="159" spans="1:4" ht="14.25">
      <c r="A159" s="15" t="s">
        <v>1154</v>
      </c>
      <c r="B159" s="1728"/>
      <c r="C159" s="1729"/>
      <c r="D159" s="1730"/>
    </row>
    <row r="160" spans="1:4" ht="14.25">
      <c r="A160" s="274"/>
      <c r="B160" s="1728"/>
      <c r="C160" s="1729"/>
      <c r="D160" s="1730"/>
    </row>
    <row r="161" spans="1:4" ht="14.25">
      <c r="A161" s="15" t="s">
        <v>1155</v>
      </c>
      <c r="B161" s="1728"/>
      <c r="C161" s="1729"/>
      <c r="D161" s="1730"/>
    </row>
    <row r="162" spans="1:4" ht="14.25">
      <c r="A162" s="274" t="s">
        <v>1156</v>
      </c>
      <c r="B162" s="1728"/>
      <c r="C162" s="1729"/>
      <c r="D162" s="1730"/>
    </row>
    <row r="163" spans="1:4" ht="14.25">
      <c r="A163" s="274"/>
      <c r="B163" s="1728"/>
      <c r="C163" s="1729"/>
      <c r="D163" s="1730"/>
    </row>
    <row r="164" spans="1:4" ht="14.25">
      <c r="A164" s="15" t="s">
        <v>1157</v>
      </c>
      <c r="B164" s="1728"/>
      <c r="C164" s="1729"/>
      <c r="D164" s="1730"/>
    </row>
    <row r="165" spans="1:4" ht="14.25">
      <c r="A165" s="54"/>
      <c r="B165" s="1728"/>
      <c r="C165" s="1729"/>
      <c r="D165" s="1730"/>
    </row>
    <row r="166" spans="1:4" ht="14.25">
      <c r="A166" s="15" t="s">
        <v>1158</v>
      </c>
      <c r="B166" s="1728"/>
      <c r="C166" s="1729"/>
      <c r="D166" s="1730"/>
    </row>
    <row r="167" spans="1:4" ht="14.25">
      <c r="A167" s="15" t="s">
        <v>1159</v>
      </c>
      <c r="B167" s="1728"/>
      <c r="C167" s="1729"/>
      <c r="D167" s="1730"/>
    </row>
    <row r="168" spans="1:4" ht="14.25">
      <c r="A168" s="274" t="s">
        <v>929</v>
      </c>
      <c r="B168" s="1728"/>
      <c r="C168" s="1729"/>
      <c r="D168" s="1730"/>
    </row>
    <row r="169" spans="1:4" ht="14.25">
      <c r="A169" s="274" t="s">
        <v>930</v>
      </c>
      <c r="B169" s="1728"/>
      <c r="C169" s="1729"/>
      <c r="D169" s="1730"/>
    </row>
    <row r="170" spans="1:4" ht="14.25">
      <c r="A170" s="15" t="s">
        <v>931</v>
      </c>
      <c r="B170" s="1728"/>
      <c r="C170" s="1729"/>
      <c r="D170" s="1730"/>
    </row>
    <row r="171" spans="1:4" ht="14.25">
      <c r="A171" s="274" t="s">
        <v>932</v>
      </c>
      <c r="B171" s="1728"/>
      <c r="C171" s="1729"/>
      <c r="D171" s="1730"/>
    </row>
    <row r="172" spans="1:4" ht="14.25">
      <c r="A172" s="274" t="s">
        <v>933</v>
      </c>
      <c r="B172" s="1728"/>
      <c r="C172" s="1729"/>
      <c r="D172" s="1730"/>
    </row>
    <row r="173" spans="1:4" ht="14.25">
      <c r="A173" s="135"/>
      <c r="B173" s="1728"/>
      <c r="C173" s="1729"/>
      <c r="D173" s="1730"/>
    </row>
    <row r="174" spans="1:4" ht="14.25">
      <c r="A174" s="27" t="s">
        <v>332</v>
      </c>
      <c r="B174" s="1731"/>
      <c r="C174" s="1732"/>
      <c r="D174" s="1733"/>
    </row>
    <row r="175" spans="1:4" ht="14.25">
      <c r="A175" s="383" t="s">
        <v>311</v>
      </c>
      <c r="B175" s="384"/>
      <c r="C175" s="384"/>
      <c r="D175" s="384"/>
    </row>
    <row r="176" spans="1:4" ht="14.25">
      <c r="A176" s="379" t="s">
        <v>1734</v>
      </c>
      <c r="B176" s="379"/>
      <c r="C176" s="379"/>
      <c r="D176" s="379"/>
    </row>
    <row r="177" spans="1:1">
      <c r="A177" s="380" t="s">
        <v>1267</v>
      </c>
    </row>
    <row r="189" spans="1:1">
      <c r="A189" s="385"/>
    </row>
  </sheetData>
  <mergeCells count="1">
    <mergeCell ref="B7:D174"/>
  </mergeCells>
  <printOptions horizontalCentered="1"/>
  <pageMargins left="0.43307086614173229" right="0.6692913385826772" top="0.55118110236220474" bottom="0.43307086614173229" header="0.51181102362204722" footer="0.35433070866141736"/>
  <pageSetup paperSize="5" scale="91" fitToHeight="3"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A5849-2AA8-42C0-B880-8EE03B4C4D7A}">
  <sheetPr>
    <tabColor rgb="FF00FFFF"/>
    <pageSetUpPr fitToPage="1"/>
  </sheetPr>
  <dimension ref="A1:AG51"/>
  <sheetViews>
    <sheetView view="pageBreakPreview" zoomScale="60" zoomScaleNormal="63" workbookViewId="0">
      <selection activeCell="N9" sqref="N9:W49"/>
    </sheetView>
  </sheetViews>
  <sheetFormatPr defaultRowHeight="15.75"/>
  <cols>
    <col min="1" max="2" width="9.06640625" style="1072"/>
    <col min="3" max="3" width="31.53125" style="1072" bestFit="1" customWidth="1"/>
    <col min="4" max="4" width="16.796875" style="1072" bestFit="1" customWidth="1"/>
    <col min="5" max="5" width="10.53125" style="1072" bestFit="1" customWidth="1"/>
    <col min="6" max="6" width="10.796875" style="1072" bestFit="1" customWidth="1"/>
    <col min="7" max="7" width="16" style="1072" bestFit="1" customWidth="1"/>
    <col min="8" max="8" width="14.53125" style="1072" bestFit="1" customWidth="1"/>
    <col min="9" max="12" width="14.53125" style="1072" customWidth="1"/>
    <col min="13" max="13" width="12.796875" style="1072" bestFit="1" customWidth="1"/>
    <col min="14" max="14" width="10.59765625" style="1072" customWidth="1"/>
    <col min="15" max="15" width="10.06640625" style="1072" bestFit="1" customWidth="1"/>
    <col min="16" max="16" width="7.86328125" style="1072" customWidth="1"/>
    <col min="17" max="17" width="10.9296875" style="1072" customWidth="1"/>
    <col min="18" max="18" width="11.3984375" style="1072" customWidth="1"/>
    <col min="19" max="19" width="14.3984375" style="1072" customWidth="1"/>
    <col min="20" max="20" width="10.9296875" style="1072" customWidth="1"/>
    <col min="21" max="21" width="7.59765625" style="1072" customWidth="1"/>
    <col min="22" max="22" width="10.6640625" style="1072" customWidth="1"/>
    <col min="23" max="23" width="10.3984375" style="1072" customWidth="1"/>
    <col min="24" max="24" width="16.796875" style="1072" bestFit="1" customWidth="1"/>
    <col min="25" max="25" width="10.53125" style="1072" bestFit="1" customWidth="1"/>
    <col min="26" max="26" width="10.796875" style="1072" bestFit="1" customWidth="1"/>
    <col min="27" max="27" width="16" style="1072" bestFit="1" customWidth="1"/>
    <col min="28" max="28" width="14.53125" style="1072" bestFit="1" customWidth="1"/>
    <col min="29" max="32" width="14.53125" style="1072" customWidth="1"/>
    <col min="33" max="33" width="12.796875" style="1072" bestFit="1" customWidth="1"/>
    <col min="34" max="16384" width="9.06640625" style="1072"/>
  </cols>
  <sheetData>
    <row r="1" spans="1:33" s="1075" customFormat="1">
      <c r="A1" s="1074" t="s">
        <v>1837</v>
      </c>
      <c r="B1" s="1074"/>
      <c r="C1" s="1074"/>
      <c r="D1" s="1074"/>
      <c r="E1" s="1074"/>
      <c r="F1" s="1074"/>
      <c r="G1" s="1074"/>
      <c r="H1" s="1074"/>
      <c r="I1" s="1074"/>
      <c r="J1" s="1074"/>
      <c r="K1" s="1074"/>
      <c r="L1" s="1074"/>
    </row>
    <row r="2" spans="1:33" s="1078" customFormat="1">
      <c r="A2" s="1076" t="str">
        <f>+'BS1'!A2</f>
        <v>NIDP DEVELOPERS PRIVATE LIMITED</v>
      </c>
      <c r="B2" s="1077"/>
      <c r="C2" s="1072"/>
      <c r="D2" s="1072"/>
      <c r="E2" s="1072"/>
      <c r="F2" s="1072"/>
      <c r="G2" s="1072"/>
      <c r="H2" s="1072"/>
      <c r="I2" s="1072"/>
      <c r="J2" s="1072"/>
      <c r="K2" s="1072"/>
      <c r="L2" s="1072"/>
    </row>
    <row r="3" spans="1:33" s="1078" customFormat="1">
      <c r="A3" s="1079" t="s">
        <v>1759</v>
      </c>
      <c r="B3" s="1079"/>
      <c r="C3" s="1079"/>
      <c r="D3" s="1079"/>
      <c r="E3" s="1074"/>
      <c r="F3" s="1074"/>
      <c r="G3" s="1074"/>
      <c r="H3" s="1074"/>
      <c r="I3" s="1074"/>
      <c r="J3" s="1074"/>
      <c r="K3" s="1074"/>
      <c r="L3" s="1074"/>
    </row>
    <row r="5" spans="1:33">
      <c r="B5" s="1071" t="s">
        <v>1759</v>
      </c>
    </row>
    <row r="6" spans="1:33" ht="15" customHeight="1">
      <c r="B6" s="1746" t="s">
        <v>1363</v>
      </c>
      <c r="C6" s="1748" t="s">
        <v>1760</v>
      </c>
      <c r="D6" s="1734" t="s">
        <v>1761</v>
      </c>
      <c r="E6" s="1735"/>
      <c r="F6" s="1735"/>
      <c r="G6" s="1735"/>
      <c r="H6" s="1735"/>
      <c r="I6" s="1735"/>
      <c r="J6" s="1735"/>
      <c r="K6" s="1735"/>
      <c r="L6" s="1735"/>
      <c r="M6" s="1736"/>
      <c r="N6" s="1734" t="s">
        <v>1762</v>
      </c>
      <c r="O6" s="1735"/>
      <c r="P6" s="1735"/>
      <c r="Q6" s="1735"/>
      <c r="R6" s="1735"/>
      <c r="S6" s="1735"/>
      <c r="T6" s="1735"/>
      <c r="U6" s="1735"/>
      <c r="V6" s="1735"/>
      <c r="W6" s="1736"/>
      <c r="X6" s="1734" t="s">
        <v>18</v>
      </c>
      <c r="Y6" s="1735"/>
      <c r="Z6" s="1735"/>
      <c r="AA6" s="1735"/>
      <c r="AB6" s="1735"/>
      <c r="AC6" s="1735"/>
      <c r="AD6" s="1735"/>
      <c r="AE6" s="1735"/>
      <c r="AF6" s="1735"/>
      <c r="AG6" s="1736"/>
    </row>
    <row r="7" spans="1:33" ht="63">
      <c r="B7" s="1747"/>
      <c r="C7" s="1748"/>
      <c r="D7" s="1073" t="s">
        <v>1763</v>
      </c>
      <c r="E7" s="1073" t="s">
        <v>1004</v>
      </c>
      <c r="F7" s="1073" t="s">
        <v>1005</v>
      </c>
      <c r="G7" s="1073" t="s">
        <v>1764</v>
      </c>
      <c r="H7" s="1073" t="s">
        <v>1618</v>
      </c>
      <c r="I7" s="1073" t="s">
        <v>1765</v>
      </c>
      <c r="J7" s="1073" t="s">
        <v>1766</v>
      </c>
      <c r="K7" s="1073" t="s">
        <v>2119</v>
      </c>
      <c r="L7" s="1073" t="s">
        <v>2118</v>
      </c>
      <c r="M7" s="1073" t="s">
        <v>1767</v>
      </c>
      <c r="N7" s="1073" t="s">
        <v>1763</v>
      </c>
      <c r="O7" s="1073" t="s">
        <v>1004</v>
      </c>
      <c r="P7" s="1073" t="s">
        <v>1005</v>
      </c>
      <c r="Q7" s="1073" t="s">
        <v>1764</v>
      </c>
      <c r="R7" s="1073" t="s">
        <v>1618</v>
      </c>
      <c r="S7" s="1073" t="s">
        <v>1765</v>
      </c>
      <c r="T7" s="1073" t="s">
        <v>1766</v>
      </c>
      <c r="U7" s="1073" t="s">
        <v>2119</v>
      </c>
      <c r="V7" s="1073" t="s">
        <v>2118</v>
      </c>
      <c r="W7" s="1073" t="s">
        <v>1767</v>
      </c>
      <c r="X7" s="1073" t="s">
        <v>1763</v>
      </c>
      <c r="Y7" s="1073" t="s">
        <v>1004</v>
      </c>
      <c r="Z7" s="1073" t="s">
        <v>1005</v>
      </c>
      <c r="AA7" s="1073" t="s">
        <v>1764</v>
      </c>
      <c r="AB7" s="1073" t="s">
        <v>1618</v>
      </c>
      <c r="AC7" s="1073" t="s">
        <v>1765</v>
      </c>
      <c r="AD7" s="1073" t="s">
        <v>1766</v>
      </c>
      <c r="AE7" s="1073" t="s">
        <v>2119</v>
      </c>
      <c r="AF7" s="1073" t="s">
        <v>2118</v>
      </c>
      <c r="AG7" s="1073" t="s">
        <v>1767</v>
      </c>
    </row>
    <row r="8" spans="1:33">
      <c r="B8" s="1080"/>
      <c r="C8" s="1080"/>
      <c r="D8" s="1080"/>
      <c r="E8" s="1080"/>
      <c r="F8" s="1080"/>
      <c r="G8" s="1080"/>
      <c r="H8" s="1080"/>
      <c r="I8" s="1080"/>
      <c r="J8" s="1080"/>
      <c r="K8" s="1080"/>
      <c r="L8" s="1080"/>
      <c r="M8" s="1080"/>
      <c r="N8" s="1080"/>
      <c r="O8" s="1080"/>
      <c r="P8" s="1080"/>
      <c r="Q8" s="1080"/>
      <c r="R8" s="1080"/>
      <c r="S8" s="1080"/>
      <c r="T8" s="1080"/>
      <c r="U8" s="1080"/>
      <c r="V8" s="1080"/>
      <c r="W8" s="1080"/>
      <c r="X8" s="1080"/>
      <c r="Y8" s="1080"/>
      <c r="Z8" s="1080"/>
      <c r="AA8" s="1080"/>
      <c r="AB8" s="1080"/>
      <c r="AC8" s="1080"/>
      <c r="AD8" s="1080"/>
      <c r="AE8" s="1080"/>
      <c r="AF8" s="1080"/>
      <c r="AG8" s="1080"/>
    </row>
    <row r="9" spans="1:33" ht="31.5">
      <c r="B9" s="1080"/>
      <c r="C9" s="1081" t="str">
        <f>+Working!C5</f>
        <v>HV– 1: NON - INDUSTRIAL BULK LOADS</v>
      </c>
      <c r="D9" s="1080"/>
      <c r="E9" s="1080"/>
      <c r="F9" s="1082">
        <f>SUM(F10:F21)</f>
        <v>20.441292298297707</v>
      </c>
      <c r="G9" s="1082">
        <f t="shared" ref="G9:M9" si="0">SUM(G10:G21)</f>
        <v>2.9144607108767135</v>
      </c>
      <c r="H9" s="1082">
        <f t="shared" si="0"/>
        <v>16.745455084171397</v>
      </c>
      <c r="I9" s="1082">
        <f t="shared" si="0"/>
        <v>9.1286996936703155E-2</v>
      </c>
      <c r="J9" s="1082">
        <f t="shared" si="0"/>
        <v>-1.861685607047276</v>
      </c>
      <c r="K9" s="1082">
        <f t="shared" si="0"/>
        <v>0</v>
      </c>
      <c r="L9" s="1082">
        <f t="shared" si="0"/>
        <v>0</v>
      </c>
      <c r="M9" s="1082">
        <f t="shared" si="0"/>
        <v>17.889517184937539</v>
      </c>
      <c r="N9" s="1737"/>
      <c r="O9" s="1738"/>
      <c r="P9" s="1738"/>
      <c r="Q9" s="1738"/>
      <c r="R9" s="1738"/>
      <c r="S9" s="1738"/>
      <c r="T9" s="1738"/>
      <c r="U9" s="1738"/>
      <c r="V9" s="1738"/>
      <c r="W9" s="1739"/>
      <c r="X9" s="1080"/>
      <c r="Y9" s="1080"/>
      <c r="Z9" s="1082">
        <f>SUM(Z10:Z21)</f>
        <v>20.441292298297707</v>
      </c>
      <c r="AA9" s="1082">
        <f t="shared" ref="AA9" si="1">SUM(AA10:AA21)</f>
        <v>2.9144607108767135</v>
      </c>
      <c r="AB9" s="1082">
        <f t="shared" ref="AB9" si="2">SUM(AB10:AB21)</f>
        <v>16.745455084171397</v>
      </c>
      <c r="AC9" s="1082">
        <f t="shared" ref="AC9" si="3">SUM(AC10:AC21)</f>
        <v>9.1286996936703155E-2</v>
      </c>
      <c r="AD9" s="1082">
        <f t="shared" ref="AD9" si="4">SUM(AD10:AD21)</f>
        <v>-1.861685607047276</v>
      </c>
      <c r="AE9" s="1082">
        <f t="shared" ref="AE9:AF9" si="5">SUM(AE10:AE21)</f>
        <v>0</v>
      </c>
      <c r="AF9" s="1082">
        <f t="shared" si="5"/>
        <v>0</v>
      </c>
      <c r="AG9" s="1082">
        <f t="shared" ref="AG9" si="6">SUM(AG10:AG21)</f>
        <v>17.889517184937539</v>
      </c>
    </row>
    <row r="10" spans="1:33" ht="21.85" customHeight="1">
      <c r="B10" s="1080"/>
      <c r="C10" s="1083">
        <v>45383</v>
      </c>
      <c r="D10" s="1084">
        <f t="array" ref="D10:D21">TRANSPOSE(Working!F5:Q5)</f>
        <v>5</v>
      </c>
      <c r="E10" s="1084">
        <f t="array" ref="E10:E21">TRANSPOSE(Working!F17:Q17)</f>
        <v>3530</v>
      </c>
      <c r="F10" s="1085">
        <f t="array" ref="F10:F21">TRANSPOSE(Working!F23:Q23)</f>
        <v>1.77822192</v>
      </c>
      <c r="G10" s="1085">
        <f t="array" ref="G10:G21">TRANSPOSE(Working!F29:Q29)</f>
        <v>0.17460821899999998</v>
      </c>
      <c r="H10" s="1085">
        <f t="array" ref="H10:H21">TRANSPOSE(Working!F35:Q35)</f>
        <v>1.4486524516299999</v>
      </c>
      <c r="I10" s="1085">
        <f t="array" ref="I10:I21">TRANSPOSE(Working!F65:Q65)</f>
        <v>0</v>
      </c>
      <c r="J10" s="1085">
        <f t="array" ref="J10:J21">TRANSPOSE(Working!F41:Q41)</f>
        <v>-0.1582493547520408</v>
      </c>
      <c r="K10" s="1085">
        <f t="array" ref="K10:K21">TRANSPOSE(Working!F47:Q47)</f>
        <v>0</v>
      </c>
      <c r="L10" s="1085">
        <f t="array" ref="L10:L21">TRANSPOSE(Working!F53:Q53)</f>
        <v>0</v>
      </c>
      <c r="M10" s="1086">
        <f>+SUM(G10:L10)</f>
        <v>1.4650113158779592</v>
      </c>
      <c r="N10" s="1740"/>
      <c r="O10" s="1741"/>
      <c r="P10" s="1741"/>
      <c r="Q10" s="1741"/>
      <c r="R10" s="1741"/>
      <c r="S10" s="1741"/>
      <c r="T10" s="1741"/>
      <c r="U10" s="1741"/>
      <c r="V10" s="1741"/>
      <c r="W10" s="1742"/>
      <c r="X10" s="1084">
        <f>+D10+N10</f>
        <v>5</v>
      </c>
      <c r="Y10" s="1084">
        <f t="shared" ref="Y10:Y21" si="7">+E10+O10</f>
        <v>3530</v>
      </c>
      <c r="Z10" s="1087">
        <f t="shared" ref="Z10:Z21" si="8">+F10+P10</f>
        <v>1.77822192</v>
      </c>
      <c r="AA10" s="1087">
        <f t="shared" ref="AA10:AA21" si="9">+G10+Q10</f>
        <v>0.17460821899999998</v>
      </c>
      <c r="AB10" s="1087">
        <f t="shared" ref="AB10:AB21" si="10">+H10+R10</f>
        <v>1.4486524516299999</v>
      </c>
      <c r="AC10" s="1087">
        <f t="shared" ref="AC10:AC21" si="11">+I10+S10</f>
        <v>0</v>
      </c>
      <c r="AD10" s="1087">
        <f t="shared" ref="AD10:AD21" si="12">+J10+T10</f>
        <v>-0.1582493547520408</v>
      </c>
      <c r="AE10" s="1087">
        <f>+K10+U10</f>
        <v>0</v>
      </c>
      <c r="AF10" s="1087">
        <f>+L10+V10</f>
        <v>0</v>
      </c>
      <c r="AG10" s="1085">
        <f>+SUM(AA10:AF10)</f>
        <v>1.4650113158779592</v>
      </c>
    </row>
    <row r="11" spans="1:33" ht="21.85" customHeight="1">
      <c r="B11" s="1080"/>
      <c r="C11" s="1083">
        <v>45413</v>
      </c>
      <c r="D11" s="1084">
        <v>5</v>
      </c>
      <c r="E11" s="1084">
        <v>3530</v>
      </c>
      <c r="F11" s="1085">
        <v>2.5977362081288198</v>
      </c>
      <c r="G11" s="1085">
        <v>0.42548646600000001</v>
      </c>
      <c r="H11" s="1085">
        <v>2.1331595999999999</v>
      </c>
      <c r="I11" s="1085">
        <v>9.83543234664086E-3</v>
      </c>
      <c r="J11" s="1085">
        <v>-0.23707911616438321</v>
      </c>
      <c r="K11" s="1085">
        <v>0</v>
      </c>
      <c r="L11" s="1085">
        <v>0</v>
      </c>
      <c r="M11" s="1086">
        <f t="shared" ref="M11:M21" si="13">+SUM(G11:L11)</f>
        <v>2.331402382182258</v>
      </c>
      <c r="N11" s="1740"/>
      <c r="O11" s="1741"/>
      <c r="P11" s="1741"/>
      <c r="Q11" s="1741"/>
      <c r="R11" s="1741"/>
      <c r="S11" s="1741"/>
      <c r="T11" s="1741"/>
      <c r="U11" s="1741"/>
      <c r="V11" s="1741"/>
      <c r="W11" s="1742"/>
      <c r="X11" s="1084">
        <f t="shared" ref="X11:X21" si="14">+D11+N11</f>
        <v>5</v>
      </c>
      <c r="Y11" s="1084">
        <f t="shared" si="7"/>
        <v>3530</v>
      </c>
      <c r="Z11" s="1087">
        <f t="shared" si="8"/>
        <v>2.5977362081288198</v>
      </c>
      <c r="AA11" s="1087">
        <f t="shared" si="9"/>
        <v>0.42548646600000001</v>
      </c>
      <c r="AB11" s="1087">
        <f t="shared" si="10"/>
        <v>2.1331595999999999</v>
      </c>
      <c r="AC11" s="1087">
        <f t="shared" si="11"/>
        <v>9.83543234664086E-3</v>
      </c>
      <c r="AD11" s="1087">
        <f t="shared" si="12"/>
        <v>-0.23707911616438321</v>
      </c>
      <c r="AE11" s="1087">
        <f t="shared" ref="AE11:AE21" si="15">+K11+U11</f>
        <v>0</v>
      </c>
      <c r="AF11" s="1087">
        <f t="shared" ref="AF11:AF21" si="16">+L11+V11</f>
        <v>0</v>
      </c>
      <c r="AG11" s="1085">
        <f t="shared" ref="AG11:AG21" si="17">+SUM(AA11:AF11)</f>
        <v>2.331402382182258</v>
      </c>
    </row>
    <row r="12" spans="1:33" ht="21.85" customHeight="1">
      <c r="B12" s="1080"/>
      <c r="C12" s="1083">
        <v>45444</v>
      </c>
      <c r="D12" s="1084">
        <v>5</v>
      </c>
      <c r="E12" s="1084">
        <v>3530</v>
      </c>
      <c r="F12" s="1085">
        <v>2.8685561344472195</v>
      </c>
      <c r="G12" s="1085">
        <v>0.54672657499999999</v>
      </c>
      <c r="H12" s="1085">
        <v>2.3753635951879999</v>
      </c>
      <c r="I12" s="1085">
        <v>1.2410015666288301E-2</v>
      </c>
      <c r="J12" s="1085">
        <v>-0.26503444171058077</v>
      </c>
      <c r="K12" s="1085">
        <v>0</v>
      </c>
      <c r="L12" s="1085">
        <v>0</v>
      </c>
      <c r="M12" s="1086">
        <f t="shared" si="13"/>
        <v>2.6694657441437073</v>
      </c>
      <c r="N12" s="1740"/>
      <c r="O12" s="1741"/>
      <c r="P12" s="1741"/>
      <c r="Q12" s="1741"/>
      <c r="R12" s="1741"/>
      <c r="S12" s="1741"/>
      <c r="T12" s="1741"/>
      <c r="U12" s="1741"/>
      <c r="V12" s="1741"/>
      <c r="W12" s="1742"/>
      <c r="X12" s="1084">
        <f t="shared" si="14"/>
        <v>5</v>
      </c>
      <c r="Y12" s="1084">
        <f t="shared" si="7"/>
        <v>3530</v>
      </c>
      <c r="Z12" s="1087">
        <f t="shared" si="8"/>
        <v>2.8685561344472195</v>
      </c>
      <c r="AA12" s="1087">
        <f t="shared" si="9"/>
        <v>0.54672657499999999</v>
      </c>
      <c r="AB12" s="1087">
        <f t="shared" si="10"/>
        <v>2.3753635951879999</v>
      </c>
      <c r="AC12" s="1087">
        <f t="shared" si="11"/>
        <v>1.2410015666288301E-2</v>
      </c>
      <c r="AD12" s="1087">
        <f t="shared" si="12"/>
        <v>-0.26503444171058077</v>
      </c>
      <c r="AE12" s="1087">
        <f t="shared" si="15"/>
        <v>0</v>
      </c>
      <c r="AF12" s="1087">
        <f t="shared" si="16"/>
        <v>0</v>
      </c>
      <c r="AG12" s="1085">
        <f t="shared" si="17"/>
        <v>2.6694657441437073</v>
      </c>
    </row>
    <row r="13" spans="1:33" ht="21.85" customHeight="1">
      <c r="B13" s="1080"/>
      <c r="C13" s="1083">
        <v>45474</v>
      </c>
      <c r="D13" s="1084">
        <v>5</v>
      </c>
      <c r="E13" s="1084">
        <v>3530</v>
      </c>
      <c r="F13" s="1085">
        <v>3.1711216435616798</v>
      </c>
      <c r="G13" s="1085">
        <v>0.95664131500000005</v>
      </c>
      <c r="H13" s="1085">
        <v>2.6207755973533997</v>
      </c>
      <c r="I13" s="1085">
        <v>1.5385620574880101E-2</v>
      </c>
      <c r="J13" s="1085">
        <v>-0.30347249672164139</v>
      </c>
      <c r="K13" s="1085">
        <v>0</v>
      </c>
      <c r="L13" s="1085">
        <v>0</v>
      </c>
      <c r="M13" s="1086">
        <f t="shared" si="13"/>
        <v>3.2893300362066387</v>
      </c>
      <c r="N13" s="1740"/>
      <c r="O13" s="1741"/>
      <c r="P13" s="1741"/>
      <c r="Q13" s="1741"/>
      <c r="R13" s="1741"/>
      <c r="S13" s="1741"/>
      <c r="T13" s="1741"/>
      <c r="U13" s="1741"/>
      <c r="V13" s="1741"/>
      <c r="W13" s="1742"/>
      <c r="X13" s="1084">
        <f t="shared" si="14"/>
        <v>5</v>
      </c>
      <c r="Y13" s="1084">
        <f t="shared" si="7"/>
        <v>3530</v>
      </c>
      <c r="Z13" s="1087">
        <f t="shared" si="8"/>
        <v>3.1711216435616798</v>
      </c>
      <c r="AA13" s="1087">
        <f t="shared" si="9"/>
        <v>0.95664131500000005</v>
      </c>
      <c r="AB13" s="1087">
        <f t="shared" si="10"/>
        <v>2.6207755973533997</v>
      </c>
      <c r="AC13" s="1087">
        <f t="shared" si="11"/>
        <v>1.5385620574880101E-2</v>
      </c>
      <c r="AD13" s="1087">
        <f t="shared" si="12"/>
        <v>-0.30347249672164139</v>
      </c>
      <c r="AE13" s="1087">
        <f t="shared" si="15"/>
        <v>0</v>
      </c>
      <c r="AF13" s="1087">
        <f t="shared" si="16"/>
        <v>0</v>
      </c>
      <c r="AG13" s="1085">
        <f t="shared" si="17"/>
        <v>3.2893300362066387</v>
      </c>
    </row>
    <row r="14" spans="1:33" ht="21.85" customHeight="1">
      <c r="B14" s="1080"/>
      <c r="C14" s="1083">
        <v>45505</v>
      </c>
      <c r="D14" s="1084">
        <v>5</v>
      </c>
      <c r="E14" s="1084">
        <v>8060</v>
      </c>
      <c r="F14" s="1085">
        <v>3.1927940000000001</v>
      </c>
      <c r="G14" s="1085">
        <v>0.25410147900000002</v>
      </c>
      <c r="H14" s="1085">
        <v>2.5863697999999999</v>
      </c>
      <c r="I14" s="1085">
        <v>2.03348835068707E-2</v>
      </c>
      <c r="J14" s="1085">
        <v>-0.28404712794520537</v>
      </c>
      <c r="K14" s="1085">
        <v>0</v>
      </c>
      <c r="L14" s="1085">
        <v>0</v>
      </c>
      <c r="M14" s="1086">
        <f t="shared" si="13"/>
        <v>2.5767590345616656</v>
      </c>
      <c r="N14" s="1740"/>
      <c r="O14" s="1741"/>
      <c r="P14" s="1741"/>
      <c r="Q14" s="1741"/>
      <c r="R14" s="1741"/>
      <c r="S14" s="1741"/>
      <c r="T14" s="1741"/>
      <c r="U14" s="1741"/>
      <c r="V14" s="1741"/>
      <c r="W14" s="1742"/>
      <c r="X14" s="1084">
        <f t="shared" si="14"/>
        <v>5</v>
      </c>
      <c r="Y14" s="1084">
        <f t="shared" si="7"/>
        <v>8060</v>
      </c>
      <c r="Z14" s="1087">
        <f t="shared" si="8"/>
        <v>3.1927940000000001</v>
      </c>
      <c r="AA14" s="1087">
        <f t="shared" si="9"/>
        <v>0.25410147900000002</v>
      </c>
      <c r="AB14" s="1087">
        <f t="shared" si="10"/>
        <v>2.5863697999999999</v>
      </c>
      <c r="AC14" s="1087">
        <f t="shared" si="11"/>
        <v>2.03348835068707E-2</v>
      </c>
      <c r="AD14" s="1087">
        <f t="shared" si="12"/>
        <v>-0.28404712794520537</v>
      </c>
      <c r="AE14" s="1087">
        <f t="shared" si="15"/>
        <v>0</v>
      </c>
      <c r="AF14" s="1087">
        <f t="shared" si="16"/>
        <v>0</v>
      </c>
      <c r="AG14" s="1085">
        <f t="shared" si="17"/>
        <v>2.5767590345616656</v>
      </c>
    </row>
    <row r="15" spans="1:33" ht="21.85" customHeight="1">
      <c r="B15" s="1080"/>
      <c r="C15" s="1083">
        <v>45536</v>
      </c>
      <c r="D15" s="1084">
        <v>5</v>
      </c>
      <c r="E15" s="1084">
        <v>8060</v>
      </c>
      <c r="F15" s="1085">
        <v>3.2789999999999981</v>
      </c>
      <c r="G15" s="1085">
        <v>0.27592767123287704</v>
      </c>
      <c r="H15" s="1085">
        <v>2.6477227999999999</v>
      </c>
      <c r="I15" s="1085">
        <v>1.58128460886281E-2</v>
      </c>
      <c r="J15" s="1085">
        <v>-0.29236504712328787</v>
      </c>
      <c r="K15" s="1085">
        <v>0</v>
      </c>
      <c r="L15" s="1085">
        <v>0</v>
      </c>
      <c r="M15" s="1086">
        <f t="shared" si="13"/>
        <v>2.6470982701982173</v>
      </c>
      <c r="N15" s="1740"/>
      <c r="O15" s="1741"/>
      <c r="P15" s="1741"/>
      <c r="Q15" s="1741"/>
      <c r="R15" s="1741"/>
      <c r="S15" s="1741"/>
      <c r="T15" s="1741"/>
      <c r="U15" s="1741"/>
      <c r="V15" s="1741"/>
      <c r="W15" s="1742"/>
      <c r="X15" s="1084">
        <f t="shared" si="14"/>
        <v>5</v>
      </c>
      <c r="Y15" s="1084">
        <f t="shared" si="7"/>
        <v>8060</v>
      </c>
      <c r="Z15" s="1087">
        <f t="shared" si="8"/>
        <v>3.2789999999999981</v>
      </c>
      <c r="AA15" s="1087">
        <f t="shared" si="9"/>
        <v>0.27592767123287704</v>
      </c>
      <c r="AB15" s="1087">
        <f t="shared" si="10"/>
        <v>2.6477227999999999</v>
      </c>
      <c r="AC15" s="1087">
        <f t="shared" si="11"/>
        <v>1.58128460886281E-2</v>
      </c>
      <c r="AD15" s="1087">
        <f t="shared" si="12"/>
        <v>-0.29236504712328787</v>
      </c>
      <c r="AE15" s="1087">
        <f t="shared" si="15"/>
        <v>0</v>
      </c>
      <c r="AF15" s="1087">
        <f t="shared" si="16"/>
        <v>0</v>
      </c>
      <c r="AG15" s="1085">
        <f t="shared" si="17"/>
        <v>2.6470982701982173</v>
      </c>
    </row>
    <row r="16" spans="1:33" ht="21.85" customHeight="1">
      <c r="B16" s="1080"/>
      <c r="C16" s="1083">
        <v>45566</v>
      </c>
      <c r="D16" s="1084">
        <v>5</v>
      </c>
      <c r="E16" s="1084">
        <v>8060</v>
      </c>
      <c r="F16" s="1085">
        <v>3.4455000000000044</v>
      </c>
      <c r="G16" s="1085">
        <v>0.27631956164383598</v>
      </c>
      <c r="H16" s="1085">
        <v>2.8462177999999998</v>
      </c>
      <c r="I16" s="1085">
        <v>1.7508198753395099E-2</v>
      </c>
      <c r="J16" s="1085">
        <v>-0.3122537361643834</v>
      </c>
      <c r="K16" s="1085">
        <v>0</v>
      </c>
      <c r="L16" s="1085">
        <v>0</v>
      </c>
      <c r="M16" s="1086">
        <f t="shared" si="13"/>
        <v>2.8277918242328473</v>
      </c>
      <c r="N16" s="1740"/>
      <c r="O16" s="1741"/>
      <c r="P16" s="1741"/>
      <c r="Q16" s="1741"/>
      <c r="R16" s="1741"/>
      <c r="S16" s="1741"/>
      <c r="T16" s="1741"/>
      <c r="U16" s="1741"/>
      <c r="V16" s="1741"/>
      <c r="W16" s="1742"/>
      <c r="X16" s="1084">
        <f t="shared" si="14"/>
        <v>5</v>
      </c>
      <c r="Y16" s="1084">
        <f t="shared" si="7"/>
        <v>8060</v>
      </c>
      <c r="Z16" s="1087">
        <f t="shared" si="8"/>
        <v>3.4455000000000044</v>
      </c>
      <c r="AA16" s="1087">
        <f t="shared" si="9"/>
        <v>0.27631956164383598</v>
      </c>
      <c r="AB16" s="1087">
        <f t="shared" si="10"/>
        <v>2.8462177999999998</v>
      </c>
      <c r="AC16" s="1087">
        <f t="shared" si="11"/>
        <v>1.7508198753395099E-2</v>
      </c>
      <c r="AD16" s="1087">
        <f t="shared" si="12"/>
        <v>-0.3122537361643834</v>
      </c>
      <c r="AE16" s="1087">
        <f t="shared" si="15"/>
        <v>0</v>
      </c>
      <c r="AF16" s="1087">
        <f t="shared" si="16"/>
        <v>0</v>
      </c>
      <c r="AG16" s="1085">
        <f t="shared" si="17"/>
        <v>2.8277918242328473</v>
      </c>
    </row>
    <row r="17" spans="2:33" ht="21.85" customHeight="1">
      <c r="B17" s="1080"/>
      <c r="C17" s="1083">
        <v>45597</v>
      </c>
      <c r="D17" s="1084">
        <v>1</v>
      </c>
      <c r="E17" s="1084">
        <v>30</v>
      </c>
      <c r="F17" s="1085">
        <v>2.1495272727272696E-2</v>
      </c>
      <c r="G17" s="1085">
        <v>9.4684899999999993E-4</v>
      </c>
      <c r="H17" s="1085">
        <v>1.73232E-2</v>
      </c>
      <c r="I17" s="1085">
        <v>0</v>
      </c>
      <c r="J17" s="1085">
        <v>-1.8270049315068499E-3</v>
      </c>
      <c r="K17" s="1085">
        <v>0</v>
      </c>
      <c r="L17" s="1085">
        <v>0</v>
      </c>
      <c r="M17" s="1086">
        <f t="shared" si="13"/>
        <v>1.6443044068493149E-2</v>
      </c>
      <c r="N17" s="1740"/>
      <c r="O17" s="1741"/>
      <c r="P17" s="1741"/>
      <c r="Q17" s="1741"/>
      <c r="R17" s="1741"/>
      <c r="S17" s="1741"/>
      <c r="T17" s="1741"/>
      <c r="U17" s="1741"/>
      <c r="V17" s="1741"/>
      <c r="W17" s="1742"/>
      <c r="X17" s="1084">
        <f t="shared" si="14"/>
        <v>1</v>
      </c>
      <c r="Y17" s="1084">
        <f t="shared" si="7"/>
        <v>30</v>
      </c>
      <c r="Z17" s="1087">
        <f t="shared" si="8"/>
        <v>2.1495272727272696E-2</v>
      </c>
      <c r="AA17" s="1087">
        <f t="shared" si="9"/>
        <v>9.4684899999999993E-4</v>
      </c>
      <c r="AB17" s="1087">
        <f t="shared" si="10"/>
        <v>1.73232E-2</v>
      </c>
      <c r="AC17" s="1087">
        <f t="shared" si="11"/>
        <v>0</v>
      </c>
      <c r="AD17" s="1087">
        <f t="shared" si="12"/>
        <v>-1.8270049315068499E-3</v>
      </c>
      <c r="AE17" s="1087">
        <f t="shared" si="15"/>
        <v>0</v>
      </c>
      <c r="AF17" s="1087">
        <f t="shared" si="16"/>
        <v>0</v>
      </c>
      <c r="AG17" s="1085">
        <f t="shared" si="17"/>
        <v>1.6443044068493149E-2</v>
      </c>
    </row>
    <row r="18" spans="2:33" ht="21.85" customHeight="1">
      <c r="B18" s="1088"/>
      <c r="C18" s="1083">
        <v>45627</v>
      </c>
      <c r="D18" s="1089">
        <v>1</v>
      </c>
      <c r="E18" s="1089">
        <v>30</v>
      </c>
      <c r="F18" s="1090">
        <v>2.22040519480519E-2</v>
      </c>
      <c r="G18" s="1090">
        <v>9.7841099999999999E-4</v>
      </c>
      <c r="H18" s="1090">
        <v>1.7900639999999999E-2</v>
      </c>
      <c r="I18" s="1090">
        <v>0</v>
      </c>
      <c r="J18" s="1090">
        <v>-1.88790509589041E-3</v>
      </c>
      <c r="K18" s="1090">
        <v>0</v>
      </c>
      <c r="L18" s="1090">
        <v>0</v>
      </c>
      <c r="M18" s="1086">
        <f t="shared" si="13"/>
        <v>1.6991145904109588E-2</v>
      </c>
      <c r="N18" s="1740"/>
      <c r="O18" s="1741"/>
      <c r="P18" s="1741"/>
      <c r="Q18" s="1741"/>
      <c r="R18" s="1741"/>
      <c r="S18" s="1741"/>
      <c r="T18" s="1741"/>
      <c r="U18" s="1741"/>
      <c r="V18" s="1741"/>
      <c r="W18" s="1742"/>
      <c r="X18" s="1084">
        <f t="shared" si="14"/>
        <v>1</v>
      </c>
      <c r="Y18" s="1084">
        <f t="shared" si="7"/>
        <v>30</v>
      </c>
      <c r="Z18" s="1087">
        <f t="shared" si="8"/>
        <v>2.22040519480519E-2</v>
      </c>
      <c r="AA18" s="1087">
        <f t="shared" si="9"/>
        <v>9.7841099999999999E-4</v>
      </c>
      <c r="AB18" s="1087">
        <f t="shared" si="10"/>
        <v>1.7900639999999999E-2</v>
      </c>
      <c r="AC18" s="1087">
        <f t="shared" si="11"/>
        <v>0</v>
      </c>
      <c r="AD18" s="1087">
        <f t="shared" si="12"/>
        <v>-1.88790509589041E-3</v>
      </c>
      <c r="AE18" s="1087">
        <f t="shared" si="15"/>
        <v>0</v>
      </c>
      <c r="AF18" s="1087">
        <f t="shared" si="16"/>
        <v>0</v>
      </c>
      <c r="AG18" s="1085">
        <f t="shared" si="17"/>
        <v>1.6991145904109588E-2</v>
      </c>
    </row>
    <row r="19" spans="2:33" ht="21.85" customHeight="1">
      <c r="B19" s="1088"/>
      <c r="C19" s="1083">
        <v>45658</v>
      </c>
      <c r="D19" s="1089">
        <v>1</v>
      </c>
      <c r="E19" s="1089">
        <v>30</v>
      </c>
      <c r="F19" s="1090">
        <v>2.2183067484662599E-2</v>
      </c>
      <c r="G19" s="1090">
        <v>9.7841099999999999E-4</v>
      </c>
      <c r="H19" s="1090">
        <v>1.7900639999999999E-2</v>
      </c>
      <c r="I19" s="1090">
        <v>0</v>
      </c>
      <c r="J19" s="1090">
        <v>-1.88790509589041E-3</v>
      </c>
      <c r="K19" s="1090">
        <v>0</v>
      </c>
      <c r="L19" s="1090">
        <v>0</v>
      </c>
      <c r="M19" s="1086">
        <f t="shared" si="13"/>
        <v>1.6991145904109588E-2</v>
      </c>
      <c r="N19" s="1740"/>
      <c r="O19" s="1741"/>
      <c r="P19" s="1741"/>
      <c r="Q19" s="1741"/>
      <c r="R19" s="1741"/>
      <c r="S19" s="1741"/>
      <c r="T19" s="1741"/>
      <c r="U19" s="1741"/>
      <c r="V19" s="1741"/>
      <c r="W19" s="1742"/>
      <c r="X19" s="1084">
        <f t="shared" si="14"/>
        <v>1</v>
      </c>
      <c r="Y19" s="1084">
        <f t="shared" si="7"/>
        <v>30</v>
      </c>
      <c r="Z19" s="1087">
        <f t="shared" si="8"/>
        <v>2.2183067484662599E-2</v>
      </c>
      <c r="AA19" s="1087">
        <f t="shared" si="9"/>
        <v>9.7841099999999999E-4</v>
      </c>
      <c r="AB19" s="1087">
        <f t="shared" si="10"/>
        <v>1.7900639999999999E-2</v>
      </c>
      <c r="AC19" s="1087">
        <f t="shared" si="11"/>
        <v>0</v>
      </c>
      <c r="AD19" s="1087">
        <f t="shared" si="12"/>
        <v>-1.88790509589041E-3</v>
      </c>
      <c r="AE19" s="1087">
        <f t="shared" si="15"/>
        <v>0</v>
      </c>
      <c r="AF19" s="1087">
        <f t="shared" si="16"/>
        <v>0</v>
      </c>
      <c r="AG19" s="1085">
        <f t="shared" si="17"/>
        <v>1.6991145904109588E-2</v>
      </c>
    </row>
    <row r="20" spans="2:33" ht="21.85" customHeight="1">
      <c r="B20" s="1088"/>
      <c r="C20" s="1083">
        <v>45689</v>
      </c>
      <c r="D20" s="1089">
        <v>1</v>
      </c>
      <c r="E20" s="1089">
        <v>30</v>
      </c>
      <c r="F20" s="1090">
        <v>2.0159999999999997E-2</v>
      </c>
      <c r="G20" s="1090">
        <v>8.2849300000000002E-4</v>
      </c>
      <c r="H20" s="1090">
        <v>1.616832E-2</v>
      </c>
      <c r="I20" s="1090">
        <v>0</v>
      </c>
      <c r="J20" s="1090">
        <v>-1.6996813150684899E-3</v>
      </c>
      <c r="K20" s="1090">
        <v>0</v>
      </c>
      <c r="L20" s="1090">
        <v>0</v>
      </c>
      <c r="M20" s="1086">
        <f t="shared" si="13"/>
        <v>1.5297131684931509E-2</v>
      </c>
      <c r="N20" s="1740"/>
      <c r="O20" s="1741"/>
      <c r="P20" s="1741"/>
      <c r="Q20" s="1741"/>
      <c r="R20" s="1741"/>
      <c r="S20" s="1741"/>
      <c r="T20" s="1741"/>
      <c r="U20" s="1741"/>
      <c r="V20" s="1741"/>
      <c r="W20" s="1742"/>
      <c r="X20" s="1084">
        <f t="shared" si="14"/>
        <v>1</v>
      </c>
      <c r="Y20" s="1084">
        <f t="shared" si="7"/>
        <v>30</v>
      </c>
      <c r="Z20" s="1087">
        <f t="shared" si="8"/>
        <v>2.0159999999999997E-2</v>
      </c>
      <c r="AA20" s="1087">
        <f t="shared" si="9"/>
        <v>8.2849300000000002E-4</v>
      </c>
      <c r="AB20" s="1087">
        <f t="shared" si="10"/>
        <v>1.616832E-2</v>
      </c>
      <c r="AC20" s="1087">
        <f t="shared" si="11"/>
        <v>0</v>
      </c>
      <c r="AD20" s="1087">
        <f t="shared" si="12"/>
        <v>-1.6996813150684899E-3</v>
      </c>
      <c r="AE20" s="1087">
        <f t="shared" si="15"/>
        <v>0</v>
      </c>
      <c r="AF20" s="1087">
        <f t="shared" si="16"/>
        <v>0</v>
      </c>
      <c r="AG20" s="1085">
        <f t="shared" si="17"/>
        <v>1.5297131684931509E-2</v>
      </c>
    </row>
    <row r="21" spans="2:33" ht="21.85" customHeight="1">
      <c r="B21" s="1088"/>
      <c r="C21" s="1083">
        <v>45717</v>
      </c>
      <c r="D21" s="1089">
        <v>1</v>
      </c>
      <c r="E21" s="1089">
        <v>30</v>
      </c>
      <c r="F21" s="1090">
        <v>2.232E-2</v>
      </c>
      <c r="G21" s="1090">
        <v>9.1726000000000004E-4</v>
      </c>
      <c r="H21" s="1090">
        <v>1.7900639999999999E-2</v>
      </c>
      <c r="I21" s="1090">
        <v>0</v>
      </c>
      <c r="J21" s="1090">
        <v>-1.8817900273972597E-3</v>
      </c>
      <c r="K21" s="1090">
        <v>0</v>
      </c>
      <c r="L21" s="1090">
        <v>0</v>
      </c>
      <c r="M21" s="1086">
        <f t="shared" si="13"/>
        <v>1.6936109972602739E-2</v>
      </c>
      <c r="N21" s="1740"/>
      <c r="O21" s="1741"/>
      <c r="P21" s="1741"/>
      <c r="Q21" s="1741"/>
      <c r="R21" s="1741"/>
      <c r="S21" s="1741"/>
      <c r="T21" s="1741"/>
      <c r="U21" s="1741"/>
      <c r="V21" s="1741"/>
      <c r="W21" s="1742"/>
      <c r="X21" s="1084">
        <f t="shared" si="14"/>
        <v>1</v>
      </c>
      <c r="Y21" s="1084">
        <f t="shared" si="7"/>
        <v>30</v>
      </c>
      <c r="Z21" s="1087">
        <f t="shared" si="8"/>
        <v>2.232E-2</v>
      </c>
      <c r="AA21" s="1087">
        <f t="shared" si="9"/>
        <v>9.1726000000000004E-4</v>
      </c>
      <c r="AB21" s="1087">
        <f t="shared" si="10"/>
        <v>1.7900639999999999E-2</v>
      </c>
      <c r="AC21" s="1087">
        <f t="shared" si="11"/>
        <v>0</v>
      </c>
      <c r="AD21" s="1087">
        <f t="shared" si="12"/>
        <v>-1.8817900273972597E-3</v>
      </c>
      <c r="AE21" s="1087">
        <f t="shared" si="15"/>
        <v>0</v>
      </c>
      <c r="AF21" s="1087">
        <f t="shared" si="16"/>
        <v>0</v>
      </c>
      <c r="AG21" s="1085">
        <f t="shared" si="17"/>
        <v>1.6936109972602739E-2</v>
      </c>
    </row>
    <row r="22" spans="2:33" ht="21.85" customHeight="1">
      <c r="B22" s="1088"/>
      <c r="C22" s="1083"/>
      <c r="D22" s="1088"/>
      <c r="E22" s="1088"/>
      <c r="F22" s="1091"/>
      <c r="G22" s="1088"/>
      <c r="H22" s="1088"/>
      <c r="I22" s="1088"/>
      <c r="J22" s="1088"/>
      <c r="K22" s="1088"/>
      <c r="L22" s="1088"/>
      <c r="M22" s="1088"/>
      <c r="N22" s="1740"/>
      <c r="O22" s="1741"/>
      <c r="P22" s="1741"/>
      <c r="Q22" s="1741"/>
      <c r="R22" s="1741"/>
      <c r="S22" s="1741"/>
      <c r="T22" s="1741"/>
      <c r="U22" s="1741"/>
      <c r="V22" s="1741"/>
      <c r="W22" s="1742"/>
      <c r="X22" s="1088"/>
      <c r="Y22" s="1088"/>
      <c r="Z22" s="1091"/>
      <c r="AA22" s="1088"/>
      <c r="AB22" s="1088"/>
      <c r="AC22" s="1088"/>
      <c r="AD22" s="1088"/>
      <c r="AE22" s="1088"/>
      <c r="AF22" s="1088"/>
      <c r="AG22" s="1088"/>
    </row>
    <row r="23" spans="2:33" ht="21.85" customHeight="1">
      <c r="B23" s="1088"/>
      <c r="C23" s="1092" t="str">
        <f>+Working!C6</f>
        <v>HV-2 -LARGE AND HEAVY POWER</v>
      </c>
      <c r="D23" s="1088"/>
      <c r="E23" s="1088"/>
      <c r="F23" s="1082">
        <f>SUM(F24:F35)</f>
        <v>17.098748077840021</v>
      </c>
      <c r="G23" s="1082">
        <f t="shared" ref="G23" si="18">SUM(G24:G35)</f>
        <v>1.008855122671233</v>
      </c>
      <c r="H23" s="1082">
        <f t="shared" ref="H23" si="19">SUM(H24:H35)</f>
        <v>12.445285999999999</v>
      </c>
      <c r="I23" s="1082">
        <f t="shared" ref="I23" si="20">SUM(I24:I35)</f>
        <v>8.628979299999999E-2</v>
      </c>
      <c r="J23" s="1082">
        <f t="shared" ref="J23:L23" si="21">SUM(J24:J35)</f>
        <v>-1.3443168835753421</v>
      </c>
      <c r="K23" s="1082">
        <f t="shared" si="21"/>
        <v>0.16756897000000001</v>
      </c>
      <c r="L23" s="1082">
        <f t="shared" si="21"/>
        <v>-0.17375650000000001</v>
      </c>
      <c r="M23" s="1082">
        <f t="shared" ref="M23" si="22">SUM(M24:M35)</f>
        <v>12.18992650209589</v>
      </c>
      <c r="N23" s="1740"/>
      <c r="O23" s="1741"/>
      <c r="P23" s="1741"/>
      <c r="Q23" s="1741"/>
      <c r="R23" s="1741"/>
      <c r="S23" s="1741"/>
      <c r="T23" s="1741"/>
      <c r="U23" s="1741"/>
      <c r="V23" s="1741"/>
      <c r="W23" s="1742"/>
      <c r="X23" s="1088"/>
      <c r="Y23" s="1088"/>
      <c r="Z23" s="1082">
        <f>SUM(Z24:Z35)</f>
        <v>17.098748077840021</v>
      </c>
      <c r="AA23" s="1082">
        <f t="shared" ref="AA23" si="23">SUM(AA24:AA35)</f>
        <v>1.008855122671233</v>
      </c>
      <c r="AB23" s="1082">
        <f t="shared" ref="AB23" si="24">SUM(AB24:AB35)</f>
        <v>12.445285999999999</v>
      </c>
      <c r="AC23" s="1082">
        <f t="shared" ref="AC23" si="25">SUM(AC24:AC35)</f>
        <v>8.628979299999999E-2</v>
      </c>
      <c r="AD23" s="1082">
        <f t="shared" ref="AD23" si="26">SUM(AD24:AD35)</f>
        <v>-1.3443168835753421</v>
      </c>
      <c r="AE23" s="1082">
        <f t="shared" ref="AE23:AF23" si="27">SUM(AE24:AE35)</f>
        <v>0.16756897000000001</v>
      </c>
      <c r="AF23" s="1082">
        <f t="shared" si="27"/>
        <v>-0.17375650000000001</v>
      </c>
      <c r="AG23" s="1082">
        <f t="shared" ref="AG23" si="28">SUM(AG24:AG35)</f>
        <v>12.18992650209589</v>
      </c>
    </row>
    <row r="24" spans="2:33" ht="21.85" customHeight="1">
      <c r="B24" s="1088"/>
      <c r="C24" s="1083">
        <v>45383</v>
      </c>
      <c r="D24" s="1084">
        <f t="array" ref="D24:D35">TRANSPOSE(Working!F6:Q6)</f>
        <v>0</v>
      </c>
      <c r="E24" s="1084">
        <f t="array" ref="E24:E35">TRANSPOSE(Working!F18:Q18)</f>
        <v>0</v>
      </c>
      <c r="F24" s="1085">
        <f t="array" ref="F24:F35">TRANSPOSE(Working!F24:Q24)</f>
        <v>0</v>
      </c>
      <c r="G24" s="1090">
        <f t="array" ref="G24:G35">TRANSPOSE(Working!F30:Q30)</f>
        <v>0</v>
      </c>
      <c r="H24" s="1085">
        <f t="array" ref="H24:H35">TRANSPOSE(Working!F36:Q36)</f>
        <v>0</v>
      </c>
      <c r="I24" s="1085">
        <f t="array" ref="I24:I35">TRANSPOSE(Working!F66:Q66)</f>
        <v>0</v>
      </c>
      <c r="J24" s="1085">
        <f t="array" ref="J24:J35">TRANSPOSE(Working!F42:Q42)</f>
        <v>0</v>
      </c>
      <c r="K24" s="1085">
        <f t="array" ref="K24:K35">TRANSPOSE(Working!F48:Q48)</f>
        <v>0</v>
      </c>
      <c r="L24" s="1085">
        <f t="array" ref="L24:L35">TRANSPOSE(Working!F54:Q54)</f>
        <v>0</v>
      </c>
      <c r="M24" s="1086">
        <f>+SUM(G24:L24)</f>
        <v>0</v>
      </c>
      <c r="N24" s="1740"/>
      <c r="O24" s="1741"/>
      <c r="P24" s="1741"/>
      <c r="Q24" s="1741"/>
      <c r="R24" s="1741"/>
      <c r="S24" s="1741"/>
      <c r="T24" s="1741"/>
      <c r="U24" s="1741"/>
      <c r="V24" s="1741"/>
      <c r="W24" s="1742"/>
      <c r="X24" s="1084">
        <f>+D24+N24</f>
        <v>0</v>
      </c>
      <c r="Y24" s="1084">
        <f t="shared" ref="Y24:Y35" si="29">+E24+O24</f>
        <v>0</v>
      </c>
      <c r="Z24" s="1087">
        <f t="shared" ref="Z24:Z35" si="30">+F24+P24</f>
        <v>0</v>
      </c>
      <c r="AA24" s="1087">
        <f t="shared" ref="AA24:AA35" si="31">+G24+Q24</f>
        <v>0</v>
      </c>
      <c r="AB24" s="1087">
        <f t="shared" ref="AB24:AB35" si="32">+H24+R24</f>
        <v>0</v>
      </c>
      <c r="AC24" s="1087">
        <f t="shared" ref="AC24:AC35" si="33">+I24+S24</f>
        <v>0</v>
      </c>
      <c r="AD24" s="1087">
        <f t="shared" ref="AD24:AD35" si="34">+J24+T24</f>
        <v>0</v>
      </c>
      <c r="AE24" s="1087">
        <f t="shared" ref="AE24:AE35" si="35">+K24+U24</f>
        <v>0</v>
      </c>
      <c r="AF24" s="1087">
        <f t="shared" ref="AF24:AF35" si="36">+L24+V24</f>
        <v>0</v>
      </c>
      <c r="AG24" s="1085">
        <f t="shared" ref="AG24:AG35" si="37">+SUM(AA24:AF24)</f>
        <v>0</v>
      </c>
    </row>
    <row r="25" spans="2:33" ht="21.85" customHeight="1">
      <c r="B25" s="1088"/>
      <c r="C25" s="1083">
        <v>45413</v>
      </c>
      <c r="D25" s="1084">
        <v>0</v>
      </c>
      <c r="E25" s="1084">
        <v>0</v>
      </c>
      <c r="F25" s="1085">
        <v>0</v>
      </c>
      <c r="G25" s="1090">
        <v>0</v>
      </c>
      <c r="H25" s="1085">
        <v>0</v>
      </c>
      <c r="I25" s="1085">
        <v>0</v>
      </c>
      <c r="J25" s="1085">
        <v>0</v>
      </c>
      <c r="K25" s="1085">
        <v>0</v>
      </c>
      <c r="L25" s="1085">
        <v>0</v>
      </c>
      <c r="M25" s="1086">
        <f t="shared" ref="M25:M35" si="38">+SUM(G25:L25)</f>
        <v>0</v>
      </c>
      <c r="N25" s="1740"/>
      <c r="O25" s="1741"/>
      <c r="P25" s="1741"/>
      <c r="Q25" s="1741"/>
      <c r="R25" s="1741"/>
      <c r="S25" s="1741"/>
      <c r="T25" s="1741"/>
      <c r="U25" s="1741"/>
      <c r="V25" s="1741"/>
      <c r="W25" s="1742"/>
      <c r="X25" s="1084">
        <f t="shared" ref="X25:X35" si="39">+D25+N25</f>
        <v>0</v>
      </c>
      <c r="Y25" s="1084">
        <f t="shared" si="29"/>
        <v>0</v>
      </c>
      <c r="Z25" s="1087">
        <f t="shared" si="30"/>
        <v>0</v>
      </c>
      <c r="AA25" s="1087">
        <f t="shared" si="31"/>
        <v>0</v>
      </c>
      <c r="AB25" s="1087">
        <f t="shared" si="32"/>
        <v>0</v>
      </c>
      <c r="AC25" s="1087">
        <f t="shared" si="33"/>
        <v>0</v>
      </c>
      <c r="AD25" s="1087">
        <f t="shared" si="34"/>
        <v>0</v>
      </c>
      <c r="AE25" s="1087">
        <f t="shared" si="35"/>
        <v>0</v>
      </c>
      <c r="AF25" s="1087">
        <f t="shared" si="36"/>
        <v>0</v>
      </c>
      <c r="AG25" s="1085">
        <f t="shared" si="37"/>
        <v>0</v>
      </c>
    </row>
    <row r="26" spans="2:33" ht="21.85" customHeight="1">
      <c r="B26" s="1088"/>
      <c r="C26" s="1083">
        <v>45444</v>
      </c>
      <c r="D26" s="1084">
        <v>0</v>
      </c>
      <c r="E26" s="1084">
        <v>0</v>
      </c>
      <c r="F26" s="1085">
        <v>0</v>
      </c>
      <c r="G26" s="1090">
        <v>0</v>
      </c>
      <c r="H26" s="1085">
        <v>0</v>
      </c>
      <c r="I26" s="1085">
        <v>0</v>
      </c>
      <c r="J26" s="1085">
        <v>0</v>
      </c>
      <c r="K26" s="1085">
        <v>0</v>
      </c>
      <c r="L26" s="1085">
        <v>0</v>
      </c>
      <c r="M26" s="1086">
        <f t="shared" si="38"/>
        <v>0</v>
      </c>
      <c r="N26" s="1740"/>
      <c r="O26" s="1741"/>
      <c r="P26" s="1741"/>
      <c r="Q26" s="1741"/>
      <c r="R26" s="1741"/>
      <c r="S26" s="1741"/>
      <c r="T26" s="1741"/>
      <c r="U26" s="1741"/>
      <c r="V26" s="1741"/>
      <c r="W26" s="1742"/>
      <c r="X26" s="1084">
        <f t="shared" si="39"/>
        <v>0</v>
      </c>
      <c r="Y26" s="1084">
        <f t="shared" si="29"/>
        <v>0</v>
      </c>
      <c r="Z26" s="1087">
        <f t="shared" si="30"/>
        <v>0</v>
      </c>
      <c r="AA26" s="1087">
        <f t="shared" si="31"/>
        <v>0</v>
      </c>
      <c r="AB26" s="1087">
        <f t="shared" si="32"/>
        <v>0</v>
      </c>
      <c r="AC26" s="1087">
        <f t="shared" si="33"/>
        <v>0</v>
      </c>
      <c r="AD26" s="1087">
        <f t="shared" si="34"/>
        <v>0</v>
      </c>
      <c r="AE26" s="1087">
        <f t="shared" si="35"/>
        <v>0</v>
      </c>
      <c r="AF26" s="1087">
        <f t="shared" si="36"/>
        <v>0</v>
      </c>
      <c r="AG26" s="1085">
        <f t="shared" si="37"/>
        <v>0</v>
      </c>
    </row>
    <row r="27" spans="2:33" ht="21.85" customHeight="1">
      <c r="B27" s="1088"/>
      <c r="C27" s="1083">
        <v>45474</v>
      </c>
      <c r="D27" s="1084">
        <v>0</v>
      </c>
      <c r="E27" s="1084">
        <v>0</v>
      </c>
      <c r="F27" s="1085">
        <v>0</v>
      </c>
      <c r="G27" s="1090">
        <v>0</v>
      </c>
      <c r="H27" s="1085">
        <v>0</v>
      </c>
      <c r="I27" s="1085">
        <v>0</v>
      </c>
      <c r="J27" s="1085">
        <v>0</v>
      </c>
      <c r="K27" s="1085">
        <v>0</v>
      </c>
      <c r="L27" s="1085">
        <v>0</v>
      </c>
      <c r="M27" s="1086">
        <f t="shared" si="38"/>
        <v>0</v>
      </c>
      <c r="N27" s="1740"/>
      <c r="O27" s="1741"/>
      <c r="P27" s="1741"/>
      <c r="Q27" s="1741"/>
      <c r="R27" s="1741"/>
      <c r="S27" s="1741"/>
      <c r="T27" s="1741"/>
      <c r="U27" s="1741"/>
      <c r="V27" s="1741"/>
      <c r="W27" s="1742"/>
      <c r="X27" s="1084">
        <f t="shared" si="39"/>
        <v>0</v>
      </c>
      <c r="Y27" s="1084">
        <f t="shared" si="29"/>
        <v>0</v>
      </c>
      <c r="Z27" s="1087">
        <f t="shared" si="30"/>
        <v>0</v>
      </c>
      <c r="AA27" s="1087">
        <f t="shared" si="31"/>
        <v>0</v>
      </c>
      <c r="AB27" s="1087">
        <f t="shared" si="32"/>
        <v>0</v>
      </c>
      <c r="AC27" s="1087">
        <f t="shared" si="33"/>
        <v>0</v>
      </c>
      <c r="AD27" s="1087">
        <f t="shared" si="34"/>
        <v>0</v>
      </c>
      <c r="AE27" s="1087">
        <f t="shared" si="35"/>
        <v>0</v>
      </c>
      <c r="AF27" s="1087">
        <f t="shared" si="36"/>
        <v>0</v>
      </c>
      <c r="AG27" s="1085">
        <f t="shared" si="37"/>
        <v>0</v>
      </c>
    </row>
    <row r="28" spans="2:33" ht="21.85" customHeight="1">
      <c r="B28" s="1088"/>
      <c r="C28" s="1083">
        <v>45505</v>
      </c>
      <c r="D28" s="1084">
        <v>0</v>
      </c>
      <c r="E28" s="1084">
        <v>0</v>
      </c>
      <c r="F28" s="1085">
        <v>0</v>
      </c>
      <c r="G28" s="1090">
        <v>0</v>
      </c>
      <c r="H28" s="1085">
        <v>0</v>
      </c>
      <c r="I28" s="1085">
        <v>0</v>
      </c>
      <c r="J28" s="1085">
        <v>0</v>
      </c>
      <c r="K28" s="1085">
        <v>0</v>
      </c>
      <c r="L28" s="1085">
        <v>0</v>
      </c>
      <c r="M28" s="1086">
        <f t="shared" si="38"/>
        <v>0</v>
      </c>
      <c r="N28" s="1740"/>
      <c r="O28" s="1741"/>
      <c r="P28" s="1741"/>
      <c r="Q28" s="1741"/>
      <c r="R28" s="1741"/>
      <c r="S28" s="1741"/>
      <c r="T28" s="1741"/>
      <c r="U28" s="1741"/>
      <c r="V28" s="1741"/>
      <c r="W28" s="1742"/>
      <c r="X28" s="1084">
        <f t="shared" si="39"/>
        <v>0</v>
      </c>
      <c r="Y28" s="1084">
        <f t="shared" si="29"/>
        <v>0</v>
      </c>
      <c r="Z28" s="1087">
        <f t="shared" si="30"/>
        <v>0</v>
      </c>
      <c r="AA28" s="1087">
        <f t="shared" si="31"/>
        <v>0</v>
      </c>
      <c r="AB28" s="1087">
        <f t="shared" si="32"/>
        <v>0</v>
      </c>
      <c r="AC28" s="1087">
        <f t="shared" si="33"/>
        <v>0</v>
      </c>
      <c r="AD28" s="1087">
        <f t="shared" si="34"/>
        <v>0</v>
      </c>
      <c r="AE28" s="1087">
        <f t="shared" si="35"/>
        <v>0</v>
      </c>
      <c r="AF28" s="1087">
        <f t="shared" si="36"/>
        <v>0</v>
      </c>
      <c r="AG28" s="1085">
        <f t="shared" si="37"/>
        <v>0</v>
      </c>
    </row>
    <row r="29" spans="2:33" ht="21.85" customHeight="1">
      <c r="B29" s="1088"/>
      <c r="C29" s="1083">
        <v>45536</v>
      </c>
      <c r="D29" s="1084">
        <v>0</v>
      </c>
      <c r="E29" s="1084">
        <v>0</v>
      </c>
      <c r="F29" s="1085">
        <v>0</v>
      </c>
      <c r="G29" s="1090">
        <v>0</v>
      </c>
      <c r="H29" s="1085">
        <v>0</v>
      </c>
      <c r="I29" s="1085">
        <v>0</v>
      </c>
      <c r="J29" s="1085">
        <v>0</v>
      </c>
      <c r="K29" s="1085">
        <v>0</v>
      </c>
      <c r="L29" s="1085">
        <v>0</v>
      </c>
      <c r="M29" s="1086">
        <f t="shared" si="38"/>
        <v>0</v>
      </c>
      <c r="N29" s="1740"/>
      <c r="O29" s="1741"/>
      <c r="P29" s="1741"/>
      <c r="Q29" s="1741"/>
      <c r="R29" s="1741"/>
      <c r="S29" s="1741"/>
      <c r="T29" s="1741"/>
      <c r="U29" s="1741"/>
      <c r="V29" s="1741"/>
      <c r="W29" s="1742"/>
      <c r="X29" s="1084">
        <f t="shared" si="39"/>
        <v>0</v>
      </c>
      <c r="Y29" s="1084">
        <f t="shared" si="29"/>
        <v>0</v>
      </c>
      <c r="Z29" s="1087">
        <f t="shared" si="30"/>
        <v>0</v>
      </c>
      <c r="AA29" s="1087">
        <f t="shared" si="31"/>
        <v>0</v>
      </c>
      <c r="AB29" s="1087">
        <f t="shared" si="32"/>
        <v>0</v>
      </c>
      <c r="AC29" s="1087">
        <f t="shared" si="33"/>
        <v>0</v>
      </c>
      <c r="AD29" s="1087">
        <f t="shared" si="34"/>
        <v>0</v>
      </c>
      <c r="AE29" s="1087">
        <f t="shared" si="35"/>
        <v>0</v>
      </c>
      <c r="AF29" s="1087">
        <f t="shared" si="36"/>
        <v>0</v>
      </c>
      <c r="AG29" s="1085">
        <f t="shared" si="37"/>
        <v>0</v>
      </c>
    </row>
    <row r="30" spans="2:33" ht="21.85" customHeight="1">
      <c r="B30" s="1088"/>
      <c r="C30" s="1083">
        <v>45566</v>
      </c>
      <c r="D30" s="1084">
        <v>0</v>
      </c>
      <c r="E30" s="1084">
        <v>0</v>
      </c>
      <c r="F30" s="1085">
        <v>0</v>
      </c>
      <c r="G30" s="1090">
        <v>0</v>
      </c>
      <c r="H30" s="1085">
        <v>0</v>
      </c>
      <c r="I30" s="1085">
        <v>0</v>
      </c>
      <c r="J30" s="1085">
        <v>0</v>
      </c>
      <c r="K30" s="1085">
        <v>0</v>
      </c>
      <c r="L30" s="1085">
        <v>0</v>
      </c>
      <c r="M30" s="1086">
        <f t="shared" si="38"/>
        <v>0</v>
      </c>
      <c r="N30" s="1740"/>
      <c r="O30" s="1741"/>
      <c r="P30" s="1741"/>
      <c r="Q30" s="1741"/>
      <c r="R30" s="1741"/>
      <c r="S30" s="1741"/>
      <c r="T30" s="1741"/>
      <c r="U30" s="1741"/>
      <c r="V30" s="1741"/>
      <c r="W30" s="1742"/>
      <c r="X30" s="1084">
        <f t="shared" si="39"/>
        <v>0</v>
      </c>
      <c r="Y30" s="1084">
        <f t="shared" si="29"/>
        <v>0</v>
      </c>
      <c r="Z30" s="1087">
        <f t="shared" si="30"/>
        <v>0</v>
      </c>
      <c r="AA30" s="1087">
        <f t="shared" si="31"/>
        <v>0</v>
      </c>
      <c r="AB30" s="1087">
        <f t="shared" si="32"/>
        <v>0</v>
      </c>
      <c r="AC30" s="1087">
        <f t="shared" si="33"/>
        <v>0</v>
      </c>
      <c r="AD30" s="1087">
        <f t="shared" si="34"/>
        <v>0</v>
      </c>
      <c r="AE30" s="1087">
        <f t="shared" si="35"/>
        <v>0</v>
      </c>
      <c r="AF30" s="1087">
        <f t="shared" si="36"/>
        <v>0</v>
      </c>
      <c r="AG30" s="1085">
        <f t="shared" si="37"/>
        <v>0</v>
      </c>
    </row>
    <row r="31" spans="2:33" ht="21.85" customHeight="1">
      <c r="B31" s="1088"/>
      <c r="C31" s="1083">
        <v>45597</v>
      </c>
      <c r="D31" s="1084">
        <v>4</v>
      </c>
      <c r="E31" s="1084">
        <v>8060</v>
      </c>
      <c r="F31" s="1085">
        <v>3.3317047272727298</v>
      </c>
      <c r="G31" s="1090">
        <v>0.195701918</v>
      </c>
      <c r="H31" s="1085">
        <v>2.4501399999999998</v>
      </c>
      <c r="I31" s="1085">
        <v>2.1953411999999999E-2</v>
      </c>
      <c r="J31" s="1085">
        <v>-0.26458419178082199</v>
      </c>
      <c r="K31" s="1085">
        <v>0.17225256999999999</v>
      </c>
      <c r="L31" s="1085">
        <v>0</v>
      </c>
      <c r="M31" s="1086">
        <f t="shared" si="38"/>
        <v>2.5754637082191776</v>
      </c>
      <c r="N31" s="1740"/>
      <c r="O31" s="1741"/>
      <c r="P31" s="1741"/>
      <c r="Q31" s="1741"/>
      <c r="R31" s="1741"/>
      <c r="S31" s="1741"/>
      <c r="T31" s="1741"/>
      <c r="U31" s="1741"/>
      <c r="V31" s="1741"/>
      <c r="W31" s="1742"/>
      <c r="X31" s="1084">
        <f t="shared" si="39"/>
        <v>4</v>
      </c>
      <c r="Y31" s="1084">
        <f t="shared" si="29"/>
        <v>8060</v>
      </c>
      <c r="Z31" s="1087">
        <f t="shared" si="30"/>
        <v>3.3317047272727298</v>
      </c>
      <c r="AA31" s="1087">
        <f t="shared" si="31"/>
        <v>0.195701918</v>
      </c>
      <c r="AB31" s="1087">
        <f t="shared" si="32"/>
        <v>2.4501399999999998</v>
      </c>
      <c r="AC31" s="1087">
        <f t="shared" si="33"/>
        <v>2.1953411999999999E-2</v>
      </c>
      <c r="AD31" s="1087">
        <f t="shared" si="34"/>
        <v>-0.26458419178082199</v>
      </c>
      <c r="AE31" s="1087">
        <f t="shared" si="35"/>
        <v>0.17225256999999999</v>
      </c>
      <c r="AF31" s="1087">
        <f t="shared" si="36"/>
        <v>0</v>
      </c>
      <c r="AG31" s="1085">
        <f t="shared" si="37"/>
        <v>2.5754637082191776</v>
      </c>
    </row>
    <row r="32" spans="2:33" ht="21.85" customHeight="1">
      <c r="B32" s="1088"/>
      <c r="C32" s="1083">
        <v>45627</v>
      </c>
      <c r="D32" s="1089">
        <v>4</v>
      </c>
      <c r="E32" s="1089">
        <v>8060</v>
      </c>
      <c r="F32" s="1090">
        <v>3.3196959480519497</v>
      </c>
      <c r="G32" s="1090">
        <v>0.18972</v>
      </c>
      <c r="H32" s="1090">
        <v>2.4298959999999998</v>
      </c>
      <c r="I32" s="1090">
        <v>2.7549392999999998E-2</v>
      </c>
      <c r="J32" s="1090">
        <v>-0.26181027400000001</v>
      </c>
      <c r="K32" s="1090">
        <v>-1.51326E-3</v>
      </c>
      <c r="L32" s="1090">
        <v>-0.17375650000000001</v>
      </c>
      <c r="M32" s="1086">
        <f t="shared" si="38"/>
        <v>2.2100853589999998</v>
      </c>
      <c r="N32" s="1740"/>
      <c r="O32" s="1741"/>
      <c r="P32" s="1741"/>
      <c r="Q32" s="1741"/>
      <c r="R32" s="1741"/>
      <c r="S32" s="1741"/>
      <c r="T32" s="1741"/>
      <c r="U32" s="1741"/>
      <c r="V32" s="1741"/>
      <c r="W32" s="1742"/>
      <c r="X32" s="1084">
        <f t="shared" si="39"/>
        <v>4</v>
      </c>
      <c r="Y32" s="1084">
        <f t="shared" si="29"/>
        <v>8060</v>
      </c>
      <c r="Z32" s="1087">
        <f t="shared" si="30"/>
        <v>3.3196959480519497</v>
      </c>
      <c r="AA32" s="1087">
        <f t="shared" si="31"/>
        <v>0.18972</v>
      </c>
      <c r="AB32" s="1087">
        <f t="shared" si="32"/>
        <v>2.4298959999999998</v>
      </c>
      <c r="AC32" s="1087">
        <f t="shared" si="33"/>
        <v>2.7549392999999998E-2</v>
      </c>
      <c r="AD32" s="1087">
        <f t="shared" si="34"/>
        <v>-0.26181027400000001</v>
      </c>
      <c r="AE32" s="1087">
        <f t="shared" si="35"/>
        <v>-1.51326E-3</v>
      </c>
      <c r="AF32" s="1087">
        <f t="shared" si="36"/>
        <v>-0.17375650000000001</v>
      </c>
      <c r="AG32" s="1085">
        <f t="shared" si="37"/>
        <v>2.2100853589999998</v>
      </c>
    </row>
    <row r="33" spans="2:33" ht="21.85" customHeight="1">
      <c r="B33" s="1088"/>
      <c r="C33" s="1083">
        <v>45658</v>
      </c>
      <c r="D33" s="1089">
        <v>4</v>
      </c>
      <c r="E33" s="1089">
        <v>8060</v>
      </c>
      <c r="F33" s="1090">
        <v>3.3085169325153396</v>
      </c>
      <c r="G33" s="1090">
        <v>0.19977928767123299</v>
      </c>
      <c r="H33" s="1090">
        <v>2.415756</v>
      </c>
      <c r="I33" s="1090">
        <v>1.3305427999999999E-2</v>
      </c>
      <c r="J33" s="1090">
        <v>-0.261426625767123</v>
      </c>
      <c r="K33" s="1090">
        <v>-1.2689999999999999E-3</v>
      </c>
      <c r="L33" s="1090">
        <v>0</v>
      </c>
      <c r="M33" s="1086">
        <f t="shared" si="38"/>
        <v>2.3661450899041094</v>
      </c>
      <c r="N33" s="1740"/>
      <c r="O33" s="1741"/>
      <c r="P33" s="1741"/>
      <c r="Q33" s="1741"/>
      <c r="R33" s="1741"/>
      <c r="S33" s="1741"/>
      <c r="T33" s="1741"/>
      <c r="U33" s="1741"/>
      <c r="V33" s="1741"/>
      <c r="W33" s="1742"/>
      <c r="X33" s="1084">
        <f t="shared" si="39"/>
        <v>4</v>
      </c>
      <c r="Y33" s="1084">
        <f t="shared" si="29"/>
        <v>8060</v>
      </c>
      <c r="Z33" s="1087">
        <f t="shared" si="30"/>
        <v>3.3085169325153396</v>
      </c>
      <c r="AA33" s="1087">
        <f t="shared" si="31"/>
        <v>0.19977928767123299</v>
      </c>
      <c r="AB33" s="1087">
        <f t="shared" si="32"/>
        <v>2.415756</v>
      </c>
      <c r="AC33" s="1087">
        <f t="shared" si="33"/>
        <v>1.3305427999999999E-2</v>
      </c>
      <c r="AD33" s="1087">
        <f t="shared" si="34"/>
        <v>-0.261426625767123</v>
      </c>
      <c r="AE33" s="1087">
        <f t="shared" si="35"/>
        <v>-1.2689999999999999E-3</v>
      </c>
      <c r="AF33" s="1087">
        <f t="shared" si="36"/>
        <v>0</v>
      </c>
      <c r="AG33" s="1085">
        <f t="shared" si="37"/>
        <v>2.3661450899041094</v>
      </c>
    </row>
    <row r="34" spans="2:33" ht="21.85" customHeight="1">
      <c r="B34" s="1088"/>
      <c r="C34" s="1083">
        <v>45689</v>
      </c>
      <c r="D34" s="1089">
        <v>4</v>
      </c>
      <c r="E34" s="1089">
        <v>8060</v>
      </c>
      <c r="F34" s="1090">
        <v>3.2687504700000001</v>
      </c>
      <c r="G34" s="1090">
        <v>0.19403309499999999</v>
      </c>
      <c r="H34" s="1090">
        <v>2.370298</v>
      </c>
      <c r="I34" s="1090">
        <v>6.8037380000000001E-3</v>
      </c>
      <c r="J34" s="1090">
        <v>-0.25625246413698599</v>
      </c>
      <c r="K34" s="1090">
        <v>-1.1436600000000001E-3</v>
      </c>
      <c r="L34" s="1090">
        <v>0</v>
      </c>
      <c r="M34" s="1086">
        <f t="shared" si="38"/>
        <v>2.3137387088630139</v>
      </c>
      <c r="N34" s="1740"/>
      <c r="O34" s="1741"/>
      <c r="P34" s="1741"/>
      <c r="Q34" s="1741"/>
      <c r="R34" s="1741"/>
      <c r="S34" s="1741"/>
      <c r="T34" s="1741"/>
      <c r="U34" s="1741"/>
      <c r="V34" s="1741"/>
      <c r="W34" s="1742"/>
      <c r="X34" s="1084">
        <f t="shared" si="39"/>
        <v>4</v>
      </c>
      <c r="Y34" s="1084">
        <f t="shared" si="29"/>
        <v>8060</v>
      </c>
      <c r="Z34" s="1087">
        <f t="shared" si="30"/>
        <v>3.2687504700000001</v>
      </c>
      <c r="AA34" s="1087">
        <f t="shared" si="31"/>
        <v>0.19403309499999999</v>
      </c>
      <c r="AB34" s="1087">
        <f t="shared" si="32"/>
        <v>2.370298</v>
      </c>
      <c r="AC34" s="1087">
        <f t="shared" si="33"/>
        <v>6.8037380000000001E-3</v>
      </c>
      <c r="AD34" s="1087">
        <f t="shared" si="34"/>
        <v>-0.25625246413698599</v>
      </c>
      <c r="AE34" s="1087">
        <f t="shared" si="35"/>
        <v>-1.1436600000000001E-3</v>
      </c>
      <c r="AF34" s="1087">
        <f t="shared" si="36"/>
        <v>0</v>
      </c>
      <c r="AG34" s="1085">
        <f t="shared" si="37"/>
        <v>2.3137387088630139</v>
      </c>
    </row>
    <row r="35" spans="2:33" ht="21.85" customHeight="1">
      <c r="B35" s="1088"/>
      <c r="C35" s="1083">
        <v>45717</v>
      </c>
      <c r="D35" s="1089">
        <v>4</v>
      </c>
      <c r="E35" s="1089">
        <v>8060</v>
      </c>
      <c r="F35" s="1090">
        <v>3.8700799999999997</v>
      </c>
      <c r="G35" s="1090">
        <v>0.22962082199999997</v>
      </c>
      <c r="H35" s="1090">
        <v>2.7791959999999998</v>
      </c>
      <c r="I35" s="1090">
        <v>1.6677821999999998E-2</v>
      </c>
      <c r="J35" s="1090">
        <v>-0.30024332789041103</v>
      </c>
      <c r="K35" s="1090">
        <v>-7.5768000000000005E-4</v>
      </c>
      <c r="L35" s="1090">
        <v>0</v>
      </c>
      <c r="M35" s="1086">
        <f t="shared" si="38"/>
        <v>2.7244936361095888</v>
      </c>
      <c r="N35" s="1740"/>
      <c r="O35" s="1741"/>
      <c r="P35" s="1741"/>
      <c r="Q35" s="1741"/>
      <c r="R35" s="1741"/>
      <c r="S35" s="1741"/>
      <c r="T35" s="1741"/>
      <c r="U35" s="1741"/>
      <c r="V35" s="1741"/>
      <c r="W35" s="1742"/>
      <c r="X35" s="1084">
        <f t="shared" si="39"/>
        <v>4</v>
      </c>
      <c r="Y35" s="1084">
        <f t="shared" si="29"/>
        <v>8060</v>
      </c>
      <c r="Z35" s="1087">
        <f t="shared" si="30"/>
        <v>3.8700799999999997</v>
      </c>
      <c r="AA35" s="1087">
        <f t="shared" si="31"/>
        <v>0.22962082199999997</v>
      </c>
      <c r="AB35" s="1087">
        <f t="shared" si="32"/>
        <v>2.7791959999999998</v>
      </c>
      <c r="AC35" s="1087">
        <f t="shared" si="33"/>
        <v>1.6677821999999998E-2</v>
      </c>
      <c r="AD35" s="1087">
        <f t="shared" si="34"/>
        <v>-0.30024332789041103</v>
      </c>
      <c r="AE35" s="1087">
        <f t="shared" si="35"/>
        <v>-7.5768000000000005E-4</v>
      </c>
      <c r="AF35" s="1087">
        <f t="shared" si="36"/>
        <v>0</v>
      </c>
      <c r="AG35" s="1085">
        <f t="shared" si="37"/>
        <v>2.7244936361095888</v>
      </c>
    </row>
    <row r="36" spans="2:33" ht="21.85" customHeight="1">
      <c r="B36" s="1088"/>
      <c r="C36" s="1088"/>
      <c r="D36" s="1088"/>
      <c r="E36" s="1088"/>
      <c r="F36" s="1091"/>
      <c r="G36" s="1088"/>
      <c r="H36" s="1088"/>
      <c r="I36" s="1088"/>
      <c r="J36" s="1088"/>
      <c r="K36" s="1088"/>
      <c r="L36" s="1088"/>
      <c r="M36" s="1088"/>
      <c r="N36" s="1740"/>
      <c r="O36" s="1741"/>
      <c r="P36" s="1741"/>
      <c r="Q36" s="1741"/>
      <c r="R36" s="1741"/>
      <c r="S36" s="1741"/>
      <c r="T36" s="1741"/>
      <c r="U36" s="1741"/>
      <c r="V36" s="1741"/>
      <c r="W36" s="1742"/>
      <c r="X36" s="1088"/>
      <c r="Y36" s="1088"/>
      <c r="Z36" s="1091"/>
      <c r="AA36" s="1088"/>
      <c r="AB36" s="1088"/>
      <c r="AC36" s="1088"/>
      <c r="AD36" s="1088"/>
      <c r="AE36" s="1088"/>
      <c r="AF36" s="1088"/>
      <c r="AG36" s="1088"/>
    </row>
    <row r="37" spans="2:33" ht="21.85" customHeight="1">
      <c r="B37" s="1088"/>
      <c r="C37" s="1092" t="str">
        <f>+Working!C7</f>
        <v>LMV – 9: TEMPORARY SUPPLY</v>
      </c>
      <c r="D37" s="1088"/>
      <c r="E37" s="1088"/>
      <c r="F37" s="1082">
        <f>SUM(F38:F49)</f>
        <v>0</v>
      </c>
      <c r="G37" s="1082">
        <f t="shared" ref="G37" si="40">SUM(G38:G49)</f>
        <v>0</v>
      </c>
      <c r="H37" s="1082">
        <f t="shared" ref="H37" si="41">SUM(H38:H49)</f>
        <v>0</v>
      </c>
      <c r="I37" s="1082">
        <f t="shared" ref="I37" si="42">SUM(I38:I49)</f>
        <v>0</v>
      </c>
      <c r="J37" s="1082">
        <f t="shared" ref="J37" si="43">SUM(J38:J49)</f>
        <v>0</v>
      </c>
      <c r="K37" s="1082"/>
      <c r="L37" s="1082"/>
      <c r="M37" s="1082">
        <f t="shared" ref="M37" si="44">SUM(M38:M49)</f>
        <v>0</v>
      </c>
      <c r="N37" s="1740"/>
      <c r="O37" s="1741"/>
      <c r="P37" s="1741"/>
      <c r="Q37" s="1741"/>
      <c r="R37" s="1741"/>
      <c r="S37" s="1741"/>
      <c r="T37" s="1741"/>
      <c r="U37" s="1741"/>
      <c r="V37" s="1741"/>
      <c r="W37" s="1742"/>
      <c r="X37" s="1088"/>
      <c r="Y37" s="1088"/>
      <c r="Z37" s="1082">
        <f>SUM(Z38:Z49)</f>
        <v>0</v>
      </c>
      <c r="AA37" s="1082">
        <f t="shared" ref="AA37" si="45">SUM(AA38:AA49)</f>
        <v>0</v>
      </c>
      <c r="AB37" s="1082">
        <f t="shared" ref="AB37" si="46">SUM(AB38:AB49)</f>
        <v>0</v>
      </c>
      <c r="AC37" s="1082">
        <f t="shared" ref="AC37" si="47">SUM(AC38:AC49)</f>
        <v>0</v>
      </c>
      <c r="AD37" s="1082">
        <f t="shared" ref="AD37:AG37" si="48">SUM(AD38:AD49)</f>
        <v>0</v>
      </c>
      <c r="AE37" s="1082">
        <f t="shared" si="48"/>
        <v>0</v>
      </c>
      <c r="AF37" s="1082">
        <f t="shared" si="48"/>
        <v>0</v>
      </c>
      <c r="AG37" s="1082">
        <f t="shared" si="48"/>
        <v>0</v>
      </c>
    </row>
    <row r="38" spans="2:33" ht="21.85" customHeight="1">
      <c r="B38" s="1088"/>
      <c r="C38" s="1083">
        <v>45383</v>
      </c>
      <c r="D38" s="1084">
        <f t="array" ref="D38:D49">TRANSPOSE(Working!F7:Q7)</f>
        <v>0</v>
      </c>
      <c r="E38" s="1084">
        <f t="array" ref="E38:E49">TRANSPOSE(Working!F19:Q19)</f>
        <v>0</v>
      </c>
      <c r="F38" s="1085">
        <f t="array" ref="F38:F49">TRANSPOSE(Working!F25:Q25)</f>
        <v>0</v>
      </c>
      <c r="G38" s="1090">
        <f t="array" ref="G38:G49">TRANSPOSE(Working!F31:Q31)</f>
        <v>0</v>
      </c>
      <c r="H38" s="1085">
        <f t="array" ref="H38:H49">TRANSPOSE(Working!F37:Q37)</f>
        <v>0</v>
      </c>
      <c r="I38" s="1085">
        <f t="array" ref="I38:I49">TRANSPOSE(Working!F67:Q67)</f>
        <v>0</v>
      </c>
      <c r="J38" s="1085">
        <f t="array" ref="J38:J49">TRANSPOSE(Working!F43:Q43)</f>
        <v>0</v>
      </c>
      <c r="K38" s="1085"/>
      <c r="L38" s="1085">
        <f t="array" ref="L38:L49">TRANSPOSE(Working!F49:Q49)</f>
        <v>0</v>
      </c>
      <c r="M38" s="1086">
        <f>+SUM(G38:L38)</f>
        <v>0</v>
      </c>
      <c r="N38" s="1740"/>
      <c r="O38" s="1741"/>
      <c r="P38" s="1741"/>
      <c r="Q38" s="1741"/>
      <c r="R38" s="1741"/>
      <c r="S38" s="1741"/>
      <c r="T38" s="1741"/>
      <c r="U38" s="1741"/>
      <c r="V38" s="1741"/>
      <c r="W38" s="1742"/>
      <c r="X38" s="1084">
        <f>+D38+N38</f>
        <v>0</v>
      </c>
      <c r="Y38" s="1084">
        <f t="shared" ref="Y38:Y49" si="49">+E38+O38</f>
        <v>0</v>
      </c>
      <c r="Z38" s="1087">
        <f t="shared" ref="Z38:Z49" si="50">+F38+P38</f>
        <v>0</v>
      </c>
      <c r="AA38" s="1087">
        <f t="shared" ref="AA38:AA49" si="51">+G38+Q38</f>
        <v>0</v>
      </c>
      <c r="AB38" s="1087">
        <f t="shared" ref="AB38:AB49" si="52">+H38+R38</f>
        <v>0</v>
      </c>
      <c r="AC38" s="1087">
        <f t="shared" ref="AC38:AC49" si="53">+I38+S38</f>
        <v>0</v>
      </c>
      <c r="AD38" s="1087">
        <f t="shared" ref="AD38:AD49" si="54">+J38+T38</f>
        <v>0</v>
      </c>
      <c r="AE38" s="1087">
        <f t="shared" ref="AE38:AE49" si="55">+K38+U38</f>
        <v>0</v>
      </c>
      <c r="AF38" s="1087">
        <f t="shared" ref="AF38:AF49" si="56">+L38+V38</f>
        <v>0</v>
      </c>
      <c r="AG38" s="1085">
        <f t="shared" ref="AG38:AG49" si="57">+SUM(AA38:AF38)</f>
        <v>0</v>
      </c>
    </row>
    <row r="39" spans="2:33" ht="21.85" customHeight="1">
      <c r="B39" s="1088"/>
      <c r="C39" s="1083">
        <v>45413</v>
      </c>
      <c r="D39" s="1084">
        <v>0</v>
      </c>
      <c r="E39" s="1084">
        <v>0</v>
      </c>
      <c r="F39" s="1085">
        <v>0</v>
      </c>
      <c r="G39" s="1090">
        <v>0</v>
      </c>
      <c r="H39" s="1085">
        <v>0</v>
      </c>
      <c r="I39" s="1085">
        <v>0</v>
      </c>
      <c r="J39" s="1085">
        <v>0</v>
      </c>
      <c r="K39" s="1085"/>
      <c r="L39" s="1085">
        <v>0</v>
      </c>
      <c r="M39" s="1086">
        <f t="shared" ref="M39:M49" si="58">+SUM(G39:L39)</f>
        <v>0</v>
      </c>
      <c r="N39" s="1740"/>
      <c r="O39" s="1741"/>
      <c r="P39" s="1741"/>
      <c r="Q39" s="1741"/>
      <c r="R39" s="1741"/>
      <c r="S39" s="1741"/>
      <c r="T39" s="1741"/>
      <c r="U39" s="1741"/>
      <c r="V39" s="1741"/>
      <c r="W39" s="1742"/>
      <c r="X39" s="1084">
        <f t="shared" ref="X39:X49" si="59">+D39+N39</f>
        <v>0</v>
      </c>
      <c r="Y39" s="1084">
        <f t="shared" si="49"/>
        <v>0</v>
      </c>
      <c r="Z39" s="1087">
        <f t="shared" si="50"/>
        <v>0</v>
      </c>
      <c r="AA39" s="1087">
        <f t="shared" si="51"/>
        <v>0</v>
      </c>
      <c r="AB39" s="1087">
        <f t="shared" si="52"/>
        <v>0</v>
      </c>
      <c r="AC39" s="1087">
        <f t="shared" si="53"/>
        <v>0</v>
      </c>
      <c r="AD39" s="1087">
        <f t="shared" si="54"/>
        <v>0</v>
      </c>
      <c r="AE39" s="1087">
        <f t="shared" si="55"/>
        <v>0</v>
      </c>
      <c r="AF39" s="1087">
        <f t="shared" si="56"/>
        <v>0</v>
      </c>
      <c r="AG39" s="1085">
        <f t="shared" si="57"/>
        <v>0</v>
      </c>
    </row>
    <row r="40" spans="2:33" ht="21.85" customHeight="1">
      <c r="B40" s="1088"/>
      <c r="C40" s="1083">
        <v>45444</v>
      </c>
      <c r="D40" s="1084">
        <v>0</v>
      </c>
      <c r="E40" s="1084">
        <v>0</v>
      </c>
      <c r="F40" s="1085">
        <v>0</v>
      </c>
      <c r="G40" s="1090">
        <v>0</v>
      </c>
      <c r="H40" s="1085">
        <v>0</v>
      </c>
      <c r="I40" s="1085">
        <v>0</v>
      </c>
      <c r="J40" s="1085">
        <v>0</v>
      </c>
      <c r="K40" s="1085"/>
      <c r="L40" s="1085">
        <v>0</v>
      </c>
      <c r="M40" s="1086">
        <f t="shared" si="58"/>
        <v>0</v>
      </c>
      <c r="N40" s="1740"/>
      <c r="O40" s="1741"/>
      <c r="P40" s="1741"/>
      <c r="Q40" s="1741"/>
      <c r="R40" s="1741"/>
      <c r="S40" s="1741"/>
      <c r="T40" s="1741"/>
      <c r="U40" s="1741"/>
      <c r="V40" s="1741"/>
      <c r="W40" s="1742"/>
      <c r="X40" s="1084">
        <f t="shared" si="59"/>
        <v>0</v>
      </c>
      <c r="Y40" s="1084">
        <f t="shared" si="49"/>
        <v>0</v>
      </c>
      <c r="Z40" s="1087">
        <f t="shared" si="50"/>
        <v>0</v>
      </c>
      <c r="AA40" s="1087">
        <f t="shared" si="51"/>
        <v>0</v>
      </c>
      <c r="AB40" s="1087">
        <f t="shared" si="52"/>
        <v>0</v>
      </c>
      <c r="AC40" s="1087">
        <f t="shared" si="53"/>
        <v>0</v>
      </c>
      <c r="AD40" s="1087">
        <f t="shared" si="54"/>
        <v>0</v>
      </c>
      <c r="AE40" s="1087">
        <f t="shared" si="55"/>
        <v>0</v>
      </c>
      <c r="AF40" s="1087">
        <f t="shared" si="56"/>
        <v>0</v>
      </c>
      <c r="AG40" s="1085">
        <f t="shared" si="57"/>
        <v>0</v>
      </c>
    </row>
    <row r="41" spans="2:33" ht="21.85" customHeight="1">
      <c r="B41" s="1088"/>
      <c r="C41" s="1083">
        <v>45474</v>
      </c>
      <c r="D41" s="1084">
        <v>0</v>
      </c>
      <c r="E41" s="1084">
        <v>0</v>
      </c>
      <c r="F41" s="1085">
        <v>0</v>
      </c>
      <c r="G41" s="1090">
        <v>0</v>
      </c>
      <c r="H41" s="1085">
        <v>0</v>
      </c>
      <c r="I41" s="1085">
        <v>0</v>
      </c>
      <c r="J41" s="1085">
        <v>0</v>
      </c>
      <c r="K41" s="1085"/>
      <c r="L41" s="1085">
        <v>0</v>
      </c>
      <c r="M41" s="1086">
        <f t="shared" si="58"/>
        <v>0</v>
      </c>
      <c r="N41" s="1740"/>
      <c r="O41" s="1741"/>
      <c r="P41" s="1741"/>
      <c r="Q41" s="1741"/>
      <c r="R41" s="1741"/>
      <c r="S41" s="1741"/>
      <c r="T41" s="1741"/>
      <c r="U41" s="1741"/>
      <c r="V41" s="1741"/>
      <c r="W41" s="1742"/>
      <c r="X41" s="1084">
        <f t="shared" si="59"/>
        <v>0</v>
      </c>
      <c r="Y41" s="1084">
        <f t="shared" si="49"/>
        <v>0</v>
      </c>
      <c r="Z41" s="1087">
        <f t="shared" si="50"/>
        <v>0</v>
      </c>
      <c r="AA41" s="1087">
        <f t="shared" si="51"/>
        <v>0</v>
      </c>
      <c r="AB41" s="1087">
        <f t="shared" si="52"/>
        <v>0</v>
      </c>
      <c r="AC41" s="1087">
        <f t="shared" si="53"/>
        <v>0</v>
      </c>
      <c r="AD41" s="1087">
        <f t="shared" si="54"/>
        <v>0</v>
      </c>
      <c r="AE41" s="1087">
        <f t="shared" si="55"/>
        <v>0</v>
      </c>
      <c r="AF41" s="1087">
        <f t="shared" si="56"/>
        <v>0</v>
      </c>
      <c r="AG41" s="1085">
        <f t="shared" si="57"/>
        <v>0</v>
      </c>
    </row>
    <row r="42" spans="2:33" ht="21.85" customHeight="1">
      <c r="B42" s="1088"/>
      <c r="C42" s="1083">
        <v>45505</v>
      </c>
      <c r="D42" s="1084">
        <v>0</v>
      </c>
      <c r="E42" s="1084">
        <v>0</v>
      </c>
      <c r="F42" s="1085">
        <v>0</v>
      </c>
      <c r="G42" s="1090">
        <v>0</v>
      </c>
      <c r="H42" s="1085">
        <v>0</v>
      </c>
      <c r="I42" s="1085">
        <v>0</v>
      </c>
      <c r="J42" s="1085">
        <v>0</v>
      </c>
      <c r="K42" s="1085"/>
      <c r="L42" s="1085">
        <v>0</v>
      </c>
      <c r="M42" s="1086">
        <f t="shared" si="58"/>
        <v>0</v>
      </c>
      <c r="N42" s="1740"/>
      <c r="O42" s="1741"/>
      <c r="P42" s="1741"/>
      <c r="Q42" s="1741"/>
      <c r="R42" s="1741"/>
      <c r="S42" s="1741"/>
      <c r="T42" s="1741"/>
      <c r="U42" s="1741"/>
      <c r="V42" s="1741"/>
      <c r="W42" s="1742"/>
      <c r="X42" s="1084">
        <f t="shared" si="59"/>
        <v>0</v>
      </c>
      <c r="Y42" s="1084">
        <f t="shared" si="49"/>
        <v>0</v>
      </c>
      <c r="Z42" s="1087">
        <f t="shared" si="50"/>
        <v>0</v>
      </c>
      <c r="AA42" s="1087">
        <f t="shared" si="51"/>
        <v>0</v>
      </c>
      <c r="AB42" s="1087">
        <f t="shared" si="52"/>
        <v>0</v>
      </c>
      <c r="AC42" s="1087">
        <f t="shared" si="53"/>
        <v>0</v>
      </c>
      <c r="AD42" s="1087">
        <f t="shared" si="54"/>
        <v>0</v>
      </c>
      <c r="AE42" s="1087">
        <f t="shared" si="55"/>
        <v>0</v>
      </c>
      <c r="AF42" s="1087">
        <f t="shared" si="56"/>
        <v>0</v>
      </c>
      <c r="AG42" s="1085">
        <f t="shared" si="57"/>
        <v>0</v>
      </c>
    </row>
    <row r="43" spans="2:33" ht="21.85" customHeight="1">
      <c r="B43" s="1088"/>
      <c r="C43" s="1083">
        <v>45536</v>
      </c>
      <c r="D43" s="1084">
        <v>0</v>
      </c>
      <c r="E43" s="1084">
        <v>0</v>
      </c>
      <c r="F43" s="1085">
        <v>0</v>
      </c>
      <c r="G43" s="1090">
        <v>0</v>
      </c>
      <c r="H43" s="1085">
        <v>0</v>
      </c>
      <c r="I43" s="1085">
        <v>0</v>
      </c>
      <c r="J43" s="1085">
        <v>0</v>
      </c>
      <c r="K43" s="1085"/>
      <c r="L43" s="1085">
        <v>0</v>
      </c>
      <c r="M43" s="1086">
        <f t="shared" si="58"/>
        <v>0</v>
      </c>
      <c r="N43" s="1740"/>
      <c r="O43" s="1741"/>
      <c r="P43" s="1741"/>
      <c r="Q43" s="1741"/>
      <c r="R43" s="1741"/>
      <c r="S43" s="1741"/>
      <c r="T43" s="1741"/>
      <c r="U43" s="1741"/>
      <c r="V43" s="1741"/>
      <c r="W43" s="1742"/>
      <c r="X43" s="1084">
        <f t="shared" si="59"/>
        <v>0</v>
      </c>
      <c r="Y43" s="1084">
        <f t="shared" si="49"/>
        <v>0</v>
      </c>
      <c r="Z43" s="1087">
        <f t="shared" si="50"/>
        <v>0</v>
      </c>
      <c r="AA43" s="1087">
        <f t="shared" si="51"/>
        <v>0</v>
      </c>
      <c r="AB43" s="1087">
        <f t="shared" si="52"/>
        <v>0</v>
      </c>
      <c r="AC43" s="1087">
        <f t="shared" si="53"/>
        <v>0</v>
      </c>
      <c r="AD43" s="1087">
        <f t="shared" si="54"/>
        <v>0</v>
      </c>
      <c r="AE43" s="1087">
        <f t="shared" si="55"/>
        <v>0</v>
      </c>
      <c r="AF43" s="1087">
        <f t="shared" si="56"/>
        <v>0</v>
      </c>
      <c r="AG43" s="1085">
        <f t="shared" si="57"/>
        <v>0</v>
      </c>
    </row>
    <row r="44" spans="2:33" ht="21.85" customHeight="1">
      <c r="B44" s="1088"/>
      <c r="C44" s="1083">
        <v>45566</v>
      </c>
      <c r="D44" s="1084">
        <v>0</v>
      </c>
      <c r="E44" s="1084">
        <v>0</v>
      </c>
      <c r="F44" s="1085">
        <v>0</v>
      </c>
      <c r="G44" s="1090">
        <v>0</v>
      </c>
      <c r="H44" s="1085">
        <v>0</v>
      </c>
      <c r="I44" s="1085">
        <v>0</v>
      </c>
      <c r="J44" s="1085">
        <v>0</v>
      </c>
      <c r="K44" s="1085"/>
      <c r="L44" s="1085">
        <v>0</v>
      </c>
      <c r="M44" s="1086">
        <f t="shared" si="58"/>
        <v>0</v>
      </c>
      <c r="N44" s="1740"/>
      <c r="O44" s="1741"/>
      <c r="P44" s="1741"/>
      <c r="Q44" s="1741"/>
      <c r="R44" s="1741"/>
      <c r="S44" s="1741"/>
      <c r="T44" s="1741"/>
      <c r="U44" s="1741"/>
      <c r="V44" s="1741"/>
      <c r="W44" s="1742"/>
      <c r="X44" s="1084">
        <f t="shared" si="59"/>
        <v>0</v>
      </c>
      <c r="Y44" s="1084">
        <f t="shared" si="49"/>
        <v>0</v>
      </c>
      <c r="Z44" s="1087">
        <f t="shared" si="50"/>
        <v>0</v>
      </c>
      <c r="AA44" s="1087">
        <f t="shared" si="51"/>
        <v>0</v>
      </c>
      <c r="AB44" s="1087">
        <f t="shared" si="52"/>
        <v>0</v>
      </c>
      <c r="AC44" s="1087">
        <f t="shared" si="53"/>
        <v>0</v>
      </c>
      <c r="AD44" s="1087">
        <f t="shared" si="54"/>
        <v>0</v>
      </c>
      <c r="AE44" s="1087">
        <f t="shared" si="55"/>
        <v>0</v>
      </c>
      <c r="AF44" s="1087">
        <f t="shared" si="56"/>
        <v>0</v>
      </c>
      <c r="AG44" s="1085">
        <f t="shared" si="57"/>
        <v>0</v>
      </c>
    </row>
    <row r="45" spans="2:33" ht="21.85" customHeight="1">
      <c r="B45" s="1088"/>
      <c r="C45" s="1083">
        <v>45597</v>
      </c>
      <c r="D45" s="1084">
        <v>0</v>
      </c>
      <c r="E45" s="1084">
        <v>0</v>
      </c>
      <c r="F45" s="1085">
        <v>0</v>
      </c>
      <c r="G45" s="1090">
        <v>0</v>
      </c>
      <c r="H45" s="1085">
        <v>0</v>
      </c>
      <c r="I45" s="1085">
        <v>0</v>
      </c>
      <c r="J45" s="1085">
        <v>0</v>
      </c>
      <c r="K45" s="1085"/>
      <c r="L45" s="1085">
        <v>0</v>
      </c>
      <c r="M45" s="1086">
        <f t="shared" si="58"/>
        <v>0</v>
      </c>
      <c r="N45" s="1740"/>
      <c r="O45" s="1741"/>
      <c r="P45" s="1741"/>
      <c r="Q45" s="1741"/>
      <c r="R45" s="1741"/>
      <c r="S45" s="1741"/>
      <c r="T45" s="1741"/>
      <c r="U45" s="1741"/>
      <c r="V45" s="1741"/>
      <c r="W45" s="1742"/>
      <c r="X45" s="1084">
        <f t="shared" si="59"/>
        <v>0</v>
      </c>
      <c r="Y45" s="1084">
        <f t="shared" si="49"/>
        <v>0</v>
      </c>
      <c r="Z45" s="1087">
        <f t="shared" si="50"/>
        <v>0</v>
      </c>
      <c r="AA45" s="1087">
        <f t="shared" si="51"/>
        <v>0</v>
      </c>
      <c r="AB45" s="1087">
        <f t="shared" si="52"/>
        <v>0</v>
      </c>
      <c r="AC45" s="1087">
        <f t="shared" si="53"/>
        <v>0</v>
      </c>
      <c r="AD45" s="1087">
        <f t="shared" si="54"/>
        <v>0</v>
      </c>
      <c r="AE45" s="1087">
        <f t="shared" si="55"/>
        <v>0</v>
      </c>
      <c r="AF45" s="1087">
        <f t="shared" si="56"/>
        <v>0</v>
      </c>
      <c r="AG45" s="1085">
        <f t="shared" si="57"/>
        <v>0</v>
      </c>
    </row>
    <row r="46" spans="2:33" ht="21.85" customHeight="1">
      <c r="B46" s="1088"/>
      <c r="C46" s="1083">
        <v>45627</v>
      </c>
      <c r="D46" s="1089">
        <v>0</v>
      </c>
      <c r="E46" s="1089">
        <v>0</v>
      </c>
      <c r="F46" s="1090">
        <v>0</v>
      </c>
      <c r="G46" s="1090">
        <v>0</v>
      </c>
      <c r="H46" s="1090">
        <v>0</v>
      </c>
      <c r="I46" s="1090">
        <v>0</v>
      </c>
      <c r="J46" s="1090">
        <v>0</v>
      </c>
      <c r="K46" s="1090"/>
      <c r="L46" s="1090">
        <v>0</v>
      </c>
      <c r="M46" s="1086">
        <f t="shared" si="58"/>
        <v>0</v>
      </c>
      <c r="N46" s="1740"/>
      <c r="O46" s="1741"/>
      <c r="P46" s="1741"/>
      <c r="Q46" s="1741"/>
      <c r="R46" s="1741"/>
      <c r="S46" s="1741"/>
      <c r="T46" s="1741"/>
      <c r="U46" s="1741"/>
      <c r="V46" s="1741"/>
      <c r="W46" s="1742"/>
      <c r="X46" s="1084">
        <f t="shared" si="59"/>
        <v>0</v>
      </c>
      <c r="Y46" s="1084">
        <f t="shared" si="49"/>
        <v>0</v>
      </c>
      <c r="Z46" s="1087">
        <f t="shared" si="50"/>
        <v>0</v>
      </c>
      <c r="AA46" s="1087">
        <f t="shared" si="51"/>
        <v>0</v>
      </c>
      <c r="AB46" s="1087">
        <f t="shared" si="52"/>
        <v>0</v>
      </c>
      <c r="AC46" s="1087">
        <f t="shared" si="53"/>
        <v>0</v>
      </c>
      <c r="AD46" s="1087">
        <f t="shared" si="54"/>
        <v>0</v>
      </c>
      <c r="AE46" s="1087">
        <f t="shared" si="55"/>
        <v>0</v>
      </c>
      <c r="AF46" s="1087">
        <f t="shared" si="56"/>
        <v>0</v>
      </c>
      <c r="AG46" s="1085">
        <f t="shared" si="57"/>
        <v>0</v>
      </c>
    </row>
    <row r="47" spans="2:33" ht="21.85" customHeight="1">
      <c r="B47" s="1088"/>
      <c r="C47" s="1083">
        <v>45658</v>
      </c>
      <c r="D47" s="1089">
        <v>0</v>
      </c>
      <c r="E47" s="1089">
        <v>0</v>
      </c>
      <c r="F47" s="1090">
        <v>0</v>
      </c>
      <c r="G47" s="1090">
        <v>0</v>
      </c>
      <c r="H47" s="1090">
        <v>0</v>
      </c>
      <c r="I47" s="1090">
        <v>0</v>
      </c>
      <c r="J47" s="1090">
        <v>0</v>
      </c>
      <c r="K47" s="1090"/>
      <c r="L47" s="1090">
        <v>0</v>
      </c>
      <c r="M47" s="1086">
        <f t="shared" si="58"/>
        <v>0</v>
      </c>
      <c r="N47" s="1740"/>
      <c r="O47" s="1741"/>
      <c r="P47" s="1741"/>
      <c r="Q47" s="1741"/>
      <c r="R47" s="1741"/>
      <c r="S47" s="1741"/>
      <c r="T47" s="1741"/>
      <c r="U47" s="1741"/>
      <c r="V47" s="1741"/>
      <c r="W47" s="1742"/>
      <c r="X47" s="1084">
        <f t="shared" si="59"/>
        <v>0</v>
      </c>
      <c r="Y47" s="1084">
        <f t="shared" si="49"/>
        <v>0</v>
      </c>
      <c r="Z47" s="1087">
        <f t="shared" si="50"/>
        <v>0</v>
      </c>
      <c r="AA47" s="1087">
        <f t="shared" si="51"/>
        <v>0</v>
      </c>
      <c r="AB47" s="1087">
        <f t="shared" si="52"/>
        <v>0</v>
      </c>
      <c r="AC47" s="1087">
        <f t="shared" si="53"/>
        <v>0</v>
      </c>
      <c r="AD47" s="1087">
        <f t="shared" si="54"/>
        <v>0</v>
      </c>
      <c r="AE47" s="1087">
        <f t="shared" si="55"/>
        <v>0</v>
      </c>
      <c r="AF47" s="1087">
        <f t="shared" si="56"/>
        <v>0</v>
      </c>
      <c r="AG47" s="1085">
        <f t="shared" si="57"/>
        <v>0</v>
      </c>
    </row>
    <row r="48" spans="2:33" ht="21.85" customHeight="1">
      <c r="B48" s="1088"/>
      <c r="C48" s="1083">
        <v>45689</v>
      </c>
      <c r="D48" s="1089">
        <v>0</v>
      </c>
      <c r="E48" s="1089">
        <v>0</v>
      </c>
      <c r="F48" s="1090">
        <v>0</v>
      </c>
      <c r="G48" s="1090">
        <v>0</v>
      </c>
      <c r="H48" s="1090">
        <v>0</v>
      </c>
      <c r="I48" s="1090">
        <v>0</v>
      </c>
      <c r="J48" s="1090">
        <v>0</v>
      </c>
      <c r="K48" s="1090"/>
      <c r="L48" s="1090">
        <v>0</v>
      </c>
      <c r="M48" s="1086">
        <f t="shared" si="58"/>
        <v>0</v>
      </c>
      <c r="N48" s="1740"/>
      <c r="O48" s="1741"/>
      <c r="P48" s="1741"/>
      <c r="Q48" s="1741"/>
      <c r="R48" s="1741"/>
      <c r="S48" s="1741"/>
      <c r="T48" s="1741"/>
      <c r="U48" s="1741"/>
      <c r="V48" s="1741"/>
      <c r="W48" s="1742"/>
      <c r="X48" s="1084">
        <f t="shared" si="59"/>
        <v>0</v>
      </c>
      <c r="Y48" s="1084">
        <f t="shared" si="49"/>
        <v>0</v>
      </c>
      <c r="Z48" s="1087">
        <f t="shared" si="50"/>
        <v>0</v>
      </c>
      <c r="AA48" s="1087">
        <f t="shared" si="51"/>
        <v>0</v>
      </c>
      <c r="AB48" s="1087">
        <f t="shared" si="52"/>
        <v>0</v>
      </c>
      <c r="AC48" s="1087">
        <f t="shared" si="53"/>
        <v>0</v>
      </c>
      <c r="AD48" s="1087">
        <f t="shared" si="54"/>
        <v>0</v>
      </c>
      <c r="AE48" s="1087">
        <f t="shared" si="55"/>
        <v>0</v>
      </c>
      <c r="AF48" s="1087">
        <f t="shared" si="56"/>
        <v>0</v>
      </c>
      <c r="AG48" s="1085">
        <f t="shared" si="57"/>
        <v>0</v>
      </c>
    </row>
    <row r="49" spans="2:33" ht="21.85" customHeight="1">
      <c r="B49" s="1088"/>
      <c r="C49" s="1083">
        <v>45717</v>
      </c>
      <c r="D49" s="1089">
        <v>0</v>
      </c>
      <c r="E49" s="1089">
        <v>0</v>
      </c>
      <c r="F49" s="1090">
        <v>0</v>
      </c>
      <c r="G49" s="1090">
        <v>0</v>
      </c>
      <c r="H49" s="1090">
        <v>0</v>
      </c>
      <c r="I49" s="1090">
        <v>0</v>
      </c>
      <c r="J49" s="1090">
        <v>0</v>
      </c>
      <c r="K49" s="1090"/>
      <c r="L49" s="1090">
        <v>0</v>
      </c>
      <c r="M49" s="1086">
        <f t="shared" si="58"/>
        <v>0</v>
      </c>
      <c r="N49" s="1743"/>
      <c r="O49" s="1744"/>
      <c r="P49" s="1744"/>
      <c r="Q49" s="1744"/>
      <c r="R49" s="1744"/>
      <c r="S49" s="1744"/>
      <c r="T49" s="1744"/>
      <c r="U49" s="1744"/>
      <c r="V49" s="1744"/>
      <c r="W49" s="1745"/>
      <c r="X49" s="1084">
        <f t="shared" si="59"/>
        <v>0</v>
      </c>
      <c r="Y49" s="1084">
        <f t="shared" si="49"/>
        <v>0</v>
      </c>
      <c r="Z49" s="1087">
        <f t="shared" si="50"/>
        <v>0</v>
      </c>
      <c r="AA49" s="1087">
        <f t="shared" si="51"/>
        <v>0</v>
      </c>
      <c r="AB49" s="1087">
        <f t="shared" si="52"/>
        <v>0</v>
      </c>
      <c r="AC49" s="1087">
        <f t="shared" si="53"/>
        <v>0</v>
      </c>
      <c r="AD49" s="1087">
        <f t="shared" si="54"/>
        <v>0</v>
      </c>
      <c r="AE49" s="1087">
        <f t="shared" si="55"/>
        <v>0</v>
      </c>
      <c r="AF49" s="1087">
        <f t="shared" si="56"/>
        <v>0</v>
      </c>
      <c r="AG49" s="1085">
        <f t="shared" si="57"/>
        <v>0</v>
      </c>
    </row>
    <row r="50" spans="2:33" ht="21.85" customHeight="1"/>
    <row r="51" spans="2:33" ht="21.85" customHeight="1">
      <c r="B51" s="1093"/>
      <c r="C51" s="1093" t="s">
        <v>143</v>
      </c>
      <c r="D51" s="1093">
        <f>+D49+D35+D21</f>
        <v>5</v>
      </c>
      <c r="E51" s="1093">
        <f>+E49+E35+E21</f>
        <v>8090</v>
      </c>
      <c r="F51" s="1094">
        <f>+F37+F23+F9</f>
        <v>37.540040376137725</v>
      </c>
      <c r="G51" s="1094">
        <f t="shared" ref="G51:M51" si="60">+G37+G23+G9</f>
        <v>3.9233158335479468</v>
      </c>
      <c r="H51" s="1094">
        <f t="shared" si="60"/>
        <v>29.190741084171396</v>
      </c>
      <c r="I51" s="1094">
        <f t="shared" si="60"/>
        <v>0.17757678993670314</v>
      </c>
      <c r="J51" s="1082">
        <f t="shared" si="60"/>
        <v>-3.2060024906226179</v>
      </c>
      <c r="K51" s="1082">
        <f t="shared" si="60"/>
        <v>0.16756897000000001</v>
      </c>
      <c r="L51" s="1082">
        <f t="shared" si="60"/>
        <v>-0.17375650000000001</v>
      </c>
      <c r="M51" s="1094">
        <f t="shared" si="60"/>
        <v>30.079443687033429</v>
      </c>
      <c r="N51" s="1093">
        <f>+N49+N35+N21</f>
        <v>0</v>
      </c>
      <c r="O51" s="1093">
        <f>+O49+O35+O21</f>
        <v>0</v>
      </c>
      <c r="P51" s="1094">
        <f>+P37+P23+P9</f>
        <v>0</v>
      </c>
      <c r="Q51" s="1094">
        <f t="shared" ref="Q51:W51" si="61">+Q37+Q23+Q9</f>
        <v>0</v>
      </c>
      <c r="R51" s="1094">
        <f t="shared" si="61"/>
        <v>0</v>
      </c>
      <c r="S51" s="1094">
        <f t="shared" si="61"/>
        <v>0</v>
      </c>
      <c r="T51" s="1082">
        <f t="shared" si="61"/>
        <v>0</v>
      </c>
      <c r="U51" s="1082">
        <f t="shared" si="61"/>
        <v>0</v>
      </c>
      <c r="V51" s="1082"/>
      <c r="W51" s="1094">
        <f t="shared" si="61"/>
        <v>0</v>
      </c>
      <c r="X51" s="1093">
        <f>+X49+X35+X21</f>
        <v>5</v>
      </c>
      <c r="Y51" s="1093">
        <f>+Y49+Y35+Y21</f>
        <v>8090</v>
      </c>
      <c r="Z51" s="1094">
        <f>+Z37+Z23+Z9</f>
        <v>37.540040376137725</v>
      </c>
      <c r="AA51" s="1094">
        <f t="shared" ref="AA51:AG51" si="62">+AA37+AA23+AA9</f>
        <v>3.9233158335479468</v>
      </c>
      <c r="AB51" s="1094">
        <f t="shared" si="62"/>
        <v>29.190741084171396</v>
      </c>
      <c r="AC51" s="1094">
        <f t="shared" si="62"/>
        <v>0.17757678993670314</v>
      </c>
      <c r="AD51" s="1082">
        <f t="shared" si="62"/>
        <v>-3.2060024906226179</v>
      </c>
      <c r="AE51" s="1082">
        <f t="shared" si="62"/>
        <v>0.16756897000000001</v>
      </c>
      <c r="AF51" s="1082">
        <f t="shared" si="62"/>
        <v>-0.17375650000000001</v>
      </c>
      <c r="AG51" s="1094">
        <f t="shared" si="62"/>
        <v>30.079443687033429</v>
      </c>
    </row>
  </sheetData>
  <mergeCells count="6">
    <mergeCell ref="X6:AG6"/>
    <mergeCell ref="N9:W49"/>
    <mergeCell ref="B6:B7"/>
    <mergeCell ref="C6:C7"/>
    <mergeCell ref="D6:M6"/>
    <mergeCell ref="N6:W6"/>
  </mergeCells>
  <printOptions horizontalCentered="1"/>
  <pageMargins left="0.70866141732283472" right="0.70866141732283472" top="0.74803149606299213" bottom="0.74803149606299213" header="0.31496062992125984" footer="0.31496062992125984"/>
  <pageSetup paperSize="5" scale="3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FFFF"/>
    <pageSetUpPr fitToPage="1"/>
  </sheetPr>
  <dimension ref="A1:EQ706"/>
  <sheetViews>
    <sheetView showGridLines="0" view="pageBreakPreview" zoomScale="85" zoomScaleNormal="90" zoomScaleSheetLayoutView="85" workbookViewId="0">
      <selection activeCell="E10" sqref="E10"/>
    </sheetView>
  </sheetViews>
  <sheetFormatPr defaultRowHeight="15.75"/>
  <cols>
    <col min="1" max="1" width="6.46484375" style="1095" customWidth="1"/>
    <col min="2" max="2" width="48.53125" style="1095" bestFit="1" customWidth="1"/>
    <col min="3" max="3" width="8.796875" style="1095" customWidth="1"/>
    <col min="4" max="4" width="14.6640625" style="1095" customWidth="1"/>
    <col min="5" max="12" width="8.796875" style="1095" customWidth="1"/>
    <col min="13" max="13" width="9.6640625" style="1095" customWidth="1"/>
    <col min="14" max="15" width="8.796875" style="1095" customWidth="1"/>
    <col min="16" max="16" width="11.46484375" style="1095" customWidth="1"/>
    <col min="17" max="233" width="9.19921875" style="1095"/>
    <col min="234" max="234" width="3.19921875" style="1095" customWidth="1"/>
    <col min="235" max="235" width="36" style="1095" customWidth="1"/>
    <col min="236" max="236" width="8.19921875" style="1095" customWidth="1"/>
    <col min="237" max="237" width="12.796875" style="1095" customWidth="1"/>
    <col min="238" max="238" width="5.796875" style="1095" customWidth="1"/>
    <col min="239" max="239" width="7.46484375" style="1095" customWidth="1"/>
    <col min="240" max="240" width="7.19921875" style="1095" customWidth="1"/>
    <col min="241" max="241" width="6.796875" style="1095" customWidth="1"/>
    <col min="242" max="242" width="6" style="1095" customWidth="1"/>
    <col min="243" max="243" width="6.53125" style="1095" customWidth="1"/>
    <col min="244" max="244" width="5" style="1095" customWidth="1"/>
    <col min="245" max="245" width="6" style="1095" customWidth="1"/>
    <col min="246" max="246" width="6.53125" style="1095" customWidth="1"/>
    <col min="247" max="247" width="5" style="1095" customWidth="1"/>
    <col min="248" max="248" width="6.796875" style="1095" customWidth="1"/>
    <col min="249" max="489" width="9.19921875" style="1095"/>
    <col min="490" max="490" width="3.19921875" style="1095" customWidth="1"/>
    <col min="491" max="491" width="36" style="1095" customWidth="1"/>
    <col min="492" max="492" width="8.19921875" style="1095" customWidth="1"/>
    <col min="493" max="493" width="12.796875" style="1095" customWidth="1"/>
    <col min="494" max="494" width="5.796875" style="1095" customWidth="1"/>
    <col min="495" max="495" width="7.46484375" style="1095" customWidth="1"/>
    <col min="496" max="496" width="7.19921875" style="1095" customWidth="1"/>
    <col min="497" max="497" width="6.796875" style="1095" customWidth="1"/>
    <col min="498" max="498" width="6" style="1095" customWidth="1"/>
    <col min="499" max="499" width="6.53125" style="1095" customWidth="1"/>
    <col min="500" max="500" width="5" style="1095" customWidth="1"/>
    <col min="501" max="501" width="6" style="1095" customWidth="1"/>
    <col min="502" max="502" width="6.53125" style="1095" customWidth="1"/>
    <col min="503" max="503" width="5" style="1095" customWidth="1"/>
    <col min="504" max="504" width="6.796875" style="1095" customWidth="1"/>
    <col min="505" max="745" width="9.19921875" style="1095"/>
    <col min="746" max="746" width="3.19921875" style="1095" customWidth="1"/>
    <col min="747" max="747" width="36" style="1095" customWidth="1"/>
    <col min="748" max="748" width="8.19921875" style="1095" customWidth="1"/>
    <col min="749" max="749" width="12.796875" style="1095" customWidth="1"/>
    <col min="750" max="750" width="5.796875" style="1095" customWidth="1"/>
    <col min="751" max="751" width="7.46484375" style="1095" customWidth="1"/>
    <col min="752" max="752" width="7.19921875" style="1095" customWidth="1"/>
    <col min="753" max="753" width="6.796875" style="1095" customWidth="1"/>
    <col min="754" max="754" width="6" style="1095" customWidth="1"/>
    <col min="755" max="755" width="6.53125" style="1095" customWidth="1"/>
    <col min="756" max="756" width="5" style="1095" customWidth="1"/>
    <col min="757" max="757" width="6" style="1095" customWidth="1"/>
    <col min="758" max="758" width="6.53125" style="1095" customWidth="1"/>
    <col min="759" max="759" width="5" style="1095" customWidth="1"/>
    <col min="760" max="760" width="6.796875" style="1095" customWidth="1"/>
    <col min="761" max="1001" width="9.19921875" style="1095"/>
    <col min="1002" max="1002" width="3.19921875" style="1095" customWidth="1"/>
    <col min="1003" max="1003" width="36" style="1095" customWidth="1"/>
    <col min="1004" max="1004" width="8.19921875" style="1095" customWidth="1"/>
    <col min="1005" max="1005" width="12.796875" style="1095" customWidth="1"/>
    <col min="1006" max="1006" width="5.796875" style="1095" customWidth="1"/>
    <col min="1007" max="1007" width="7.46484375" style="1095" customWidth="1"/>
    <col min="1008" max="1008" width="7.19921875" style="1095" customWidth="1"/>
    <col min="1009" max="1009" width="6.796875" style="1095" customWidth="1"/>
    <col min="1010" max="1010" width="6" style="1095" customWidth="1"/>
    <col min="1011" max="1011" width="6.53125" style="1095" customWidth="1"/>
    <col min="1012" max="1012" width="5" style="1095" customWidth="1"/>
    <col min="1013" max="1013" width="6" style="1095" customWidth="1"/>
    <col min="1014" max="1014" width="6.53125" style="1095" customWidth="1"/>
    <col min="1015" max="1015" width="5" style="1095" customWidth="1"/>
    <col min="1016" max="1016" width="6.796875" style="1095" customWidth="1"/>
    <col min="1017" max="1257" width="9.19921875" style="1095"/>
    <col min="1258" max="1258" width="3.19921875" style="1095" customWidth="1"/>
    <col min="1259" max="1259" width="36" style="1095" customWidth="1"/>
    <col min="1260" max="1260" width="8.19921875" style="1095" customWidth="1"/>
    <col min="1261" max="1261" width="12.796875" style="1095" customWidth="1"/>
    <col min="1262" max="1262" width="5.796875" style="1095" customWidth="1"/>
    <col min="1263" max="1263" width="7.46484375" style="1095" customWidth="1"/>
    <col min="1264" max="1264" width="7.19921875" style="1095" customWidth="1"/>
    <col min="1265" max="1265" width="6.796875" style="1095" customWidth="1"/>
    <col min="1266" max="1266" width="6" style="1095" customWidth="1"/>
    <col min="1267" max="1267" width="6.53125" style="1095" customWidth="1"/>
    <col min="1268" max="1268" width="5" style="1095" customWidth="1"/>
    <col min="1269" max="1269" width="6" style="1095" customWidth="1"/>
    <col min="1270" max="1270" width="6.53125" style="1095" customWidth="1"/>
    <col min="1271" max="1271" width="5" style="1095" customWidth="1"/>
    <col min="1272" max="1272" width="6.796875" style="1095" customWidth="1"/>
    <col min="1273" max="1513" width="9.19921875" style="1095"/>
    <col min="1514" max="1514" width="3.19921875" style="1095" customWidth="1"/>
    <col min="1515" max="1515" width="36" style="1095" customWidth="1"/>
    <col min="1516" max="1516" width="8.19921875" style="1095" customWidth="1"/>
    <col min="1517" max="1517" width="12.796875" style="1095" customWidth="1"/>
    <col min="1518" max="1518" width="5.796875" style="1095" customWidth="1"/>
    <col min="1519" max="1519" width="7.46484375" style="1095" customWidth="1"/>
    <col min="1520" max="1520" width="7.19921875" style="1095" customWidth="1"/>
    <col min="1521" max="1521" width="6.796875" style="1095" customWidth="1"/>
    <col min="1522" max="1522" width="6" style="1095" customWidth="1"/>
    <col min="1523" max="1523" width="6.53125" style="1095" customWidth="1"/>
    <col min="1524" max="1524" width="5" style="1095" customWidth="1"/>
    <col min="1525" max="1525" width="6" style="1095" customWidth="1"/>
    <col min="1526" max="1526" width="6.53125" style="1095" customWidth="1"/>
    <col min="1527" max="1527" width="5" style="1095" customWidth="1"/>
    <col min="1528" max="1528" width="6.796875" style="1095" customWidth="1"/>
    <col min="1529" max="1769" width="9.19921875" style="1095"/>
    <col min="1770" max="1770" width="3.19921875" style="1095" customWidth="1"/>
    <col min="1771" max="1771" width="36" style="1095" customWidth="1"/>
    <col min="1772" max="1772" width="8.19921875" style="1095" customWidth="1"/>
    <col min="1773" max="1773" width="12.796875" style="1095" customWidth="1"/>
    <col min="1774" max="1774" width="5.796875" style="1095" customWidth="1"/>
    <col min="1775" max="1775" width="7.46484375" style="1095" customWidth="1"/>
    <col min="1776" max="1776" width="7.19921875" style="1095" customWidth="1"/>
    <col min="1777" max="1777" width="6.796875" style="1095" customWidth="1"/>
    <col min="1778" max="1778" width="6" style="1095" customWidth="1"/>
    <col min="1779" max="1779" width="6.53125" style="1095" customWidth="1"/>
    <col min="1780" max="1780" width="5" style="1095" customWidth="1"/>
    <col min="1781" max="1781" width="6" style="1095" customWidth="1"/>
    <col min="1782" max="1782" width="6.53125" style="1095" customWidth="1"/>
    <col min="1783" max="1783" width="5" style="1095" customWidth="1"/>
    <col min="1784" max="1784" width="6.796875" style="1095" customWidth="1"/>
    <col min="1785" max="2025" width="9.19921875" style="1095"/>
    <col min="2026" max="2026" width="3.19921875" style="1095" customWidth="1"/>
    <col min="2027" max="2027" width="36" style="1095" customWidth="1"/>
    <col min="2028" max="2028" width="8.19921875" style="1095" customWidth="1"/>
    <col min="2029" max="2029" width="12.796875" style="1095" customWidth="1"/>
    <col min="2030" max="2030" width="5.796875" style="1095" customWidth="1"/>
    <col min="2031" max="2031" width="7.46484375" style="1095" customWidth="1"/>
    <col min="2032" max="2032" width="7.19921875" style="1095" customWidth="1"/>
    <col min="2033" max="2033" width="6.796875" style="1095" customWidth="1"/>
    <col min="2034" max="2034" width="6" style="1095" customWidth="1"/>
    <col min="2035" max="2035" width="6.53125" style="1095" customWidth="1"/>
    <col min="2036" max="2036" width="5" style="1095" customWidth="1"/>
    <col min="2037" max="2037" width="6" style="1095" customWidth="1"/>
    <col min="2038" max="2038" width="6.53125" style="1095" customWidth="1"/>
    <col min="2039" max="2039" width="5" style="1095" customWidth="1"/>
    <col min="2040" max="2040" width="6.796875" style="1095" customWidth="1"/>
    <col min="2041" max="2281" width="9.19921875" style="1095"/>
    <col min="2282" max="2282" width="3.19921875" style="1095" customWidth="1"/>
    <col min="2283" max="2283" width="36" style="1095" customWidth="1"/>
    <col min="2284" max="2284" width="8.19921875" style="1095" customWidth="1"/>
    <col min="2285" max="2285" width="12.796875" style="1095" customWidth="1"/>
    <col min="2286" max="2286" width="5.796875" style="1095" customWidth="1"/>
    <col min="2287" max="2287" width="7.46484375" style="1095" customWidth="1"/>
    <col min="2288" max="2288" width="7.19921875" style="1095" customWidth="1"/>
    <col min="2289" max="2289" width="6.796875" style="1095" customWidth="1"/>
    <col min="2290" max="2290" width="6" style="1095" customWidth="1"/>
    <col min="2291" max="2291" width="6.53125" style="1095" customWidth="1"/>
    <col min="2292" max="2292" width="5" style="1095" customWidth="1"/>
    <col min="2293" max="2293" width="6" style="1095" customWidth="1"/>
    <col min="2294" max="2294" width="6.53125" style="1095" customWidth="1"/>
    <col min="2295" max="2295" width="5" style="1095" customWidth="1"/>
    <col min="2296" max="2296" width="6.796875" style="1095" customWidth="1"/>
    <col min="2297" max="2537" width="9.19921875" style="1095"/>
    <col min="2538" max="2538" width="3.19921875" style="1095" customWidth="1"/>
    <col min="2539" max="2539" width="36" style="1095" customWidth="1"/>
    <col min="2540" max="2540" width="8.19921875" style="1095" customWidth="1"/>
    <col min="2541" max="2541" width="12.796875" style="1095" customWidth="1"/>
    <col min="2542" max="2542" width="5.796875" style="1095" customWidth="1"/>
    <col min="2543" max="2543" width="7.46484375" style="1095" customWidth="1"/>
    <col min="2544" max="2544" width="7.19921875" style="1095" customWidth="1"/>
    <col min="2545" max="2545" width="6.796875" style="1095" customWidth="1"/>
    <col min="2546" max="2546" width="6" style="1095" customWidth="1"/>
    <col min="2547" max="2547" width="6.53125" style="1095" customWidth="1"/>
    <col min="2548" max="2548" width="5" style="1095" customWidth="1"/>
    <col min="2549" max="2549" width="6" style="1095" customWidth="1"/>
    <col min="2550" max="2550" width="6.53125" style="1095" customWidth="1"/>
    <col min="2551" max="2551" width="5" style="1095" customWidth="1"/>
    <col min="2552" max="2552" width="6.796875" style="1095" customWidth="1"/>
    <col min="2553" max="2793" width="9.19921875" style="1095"/>
    <col min="2794" max="2794" width="3.19921875" style="1095" customWidth="1"/>
    <col min="2795" max="2795" width="36" style="1095" customWidth="1"/>
    <col min="2796" max="2796" width="8.19921875" style="1095" customWidth="1"/>
    <col min="2797" max="2797" width="12.796875" style="1095" customWidth="1"/>
    <col min="2798" max="2798" width="5.796875" style="1095" customWidth="1"/>
    <col min="2799" max="2799" width="7.46484375" style="1095" customWidth="1"/>
    <col min="2800" max="2800" width="7.19921875" style="1095" customWidth="1"/>
    <col min="2801" max="2801" width="6.796875" style="1095" customWidth="1"/>
    <col min="2802" max="2802" width="6" style="1095" customWidth="1"/>
    <col min="2803" max="2803" width="6.53125" style="1095" customWidth="1"/>
    <col min="2804" max="2804" width="5" style="1095" customWidth="1"/>
    <col min="2805" max="2805" width="6" style="1095" customWidth="1"/>
    <col min="2806" max="2806" width="6.53125" style="1095" customWidth="1"/>
    <col min="2807" max="2807" width="5" style="1095" customWidth="1"/>
    <col min="2808" max="2808" width="6.796875" style="1095" customWidth="1"/>
    <col min="2809" max="3049" width="9.19921875" style="1095"/>
    <col min="3050" max="3050" width="3.19921875" style="1095" customWidth="1"/>
    <col min="3051" max="3051" width="36" style="1095" customWidth="1"/>
    <col min="3052" max="3052" width="8.19921875" style="1095" customWidth="1"/>
    <col min="3053" max="3053" width="12.796875" style="1095" customWidth="1"/>
    <col min="3054" max="3054" width="5.796875" style="1095" customWidth="1"/>
    <col min="3055" max="3055" width="7.46484375" style="1095" customWidth="1"/>
    <col min="3056" max="3056" width="7.19921875" style="1095" customWidth="1"/>
    <col min="3057" max="3057" width="6.796875" style="1095" customWidth="1"/>
    <col min="3058" max="3058" width="6" style="1095" customWidth="1"/>
    <col min="3059" max="3059" width="6.53125" style="1095" customWidth="1"/>
    <col min="3060" max="3060" width="5" style="1095" customWidth="1"/>
    <col min="3061" max="3061" width="6" style="1095" customWidth="1"/>
    <col min="3062" max="3062" width="6.53125" style="1095" customWidth="1"/>
    <col min="3063" max="3063" width="5" style="1095" customWidth="1"/>
    <col min="3064" max="3064" width="6.796875" style="1095" customWidth="1"/>
    <col min="3065" max="3305" width="9.19921875" style="1095"/>
    <col min="3306" max="3306" width="3.19921875" style="1095" customWidth="1"/>
    <col min="3307" max="3307" width="36" style="1095" customWidth="1"/>
    <col min="3308" max="3308" width="8.19921875" style="1095" customWidth="1"/>
    <col min="3309" max="3309" width="12.796875" style="1095" customWidth="1"/>
    <col min="3310" max="3310" width="5.796875" style="1095" customWidth="1"/>
    <col min="3311" max="3311" width="7.46484375" style="1095" customWidth="1"/>
    <col min="3312" max="3312" width="7.19921875" style="1095" customWidth="1"/>
    <col min="3313" max="3313" width="6.796875" style="1095" customWidth="1"/>
    <col min="3314" max="3314" width="6" style="1095" customWidth="1"/>
    <col min="3315" max="3315" width="6.53125" style="1095" customWidth="1"/>
    <col min="3316" max="3316" width="5" style="1095" customWidth="1"/>
    <col min="3317" max="3317" width="6" style="1095" customWidth="1"/>
    <col min="3318" max="3318" width="6.53125" style="1095" customWidth="1"/>
    <col min="3319" max="3319" width="5" style="1095" customWidth="1"/>
    <col min="3320" max="3320" width="6.796875" style="1095" customWidth="1"/>
    <col min="3321" max="3561" width="9.19921875" style="1095"/>
    <col min="3562" max="3562" width="3.19921875" style="1095" customWidth="1"/>
    <col min="3563" max="3563" width="36" style="1095" customWidth="1"/>
    <col min="3564" max="3564" width="8.19921875" style="1095" customWidth="1"/>
    <col min="3565" max="3565" width="12.796875" style="1095" customWidth="1"/>
    <col min="3566" max="3566" width="5.796875" style="1095" customWidth="1"/>
    <col min="3567" max="3567" width="7.46484375" style="1095" customWidth="1"/>
    <col min="3568" max="3568" width="7.19921875" style="1095" customWidth="1"/>
    <col min="3569" max="3569" width="6.796875" style="1095" customWidth="1"/>
    <col min="3570" max="3570" width="6" style="1095" customWidth="1"/>
    <col min="3571" max="3571" width="6.53125" style="1095" customWidth="1"/>
    <col min="3572" max="3572" width="5" style="1095" customWidth="1"/>
    <col min="3573" max="3573" width="6" style="1095" customWidth="1"/>
    <col min="3574" max="3574" width="6.53125" style="1095" customWidth="1"/>
    <col min="3575" max="3575" width="5" style="1095" customWidth="1"/>
    <col min="3576" max="3576" width="6.796875" style="1095" customWidth="1"/>
    <col min="3577" max="3817" width="9.19921875" style="1095"/>
    <col min="3818" max="3818" width="3.19921875" style="1095" customWidth="1"/>
    <col min="3819" max="3819" width="36" style="1095" customWidth="1"/>
    <col min="3820" max="3820" width="8.19921875" style="1095" customWidth="1"/>
    <col min="3821" max="3821" width="12.796875" style="1095" customWidth="1"/>
    <col min="3822" max="3822" width="5.796875" style="1095" customWidth="1"/>
    <col min="3823" max="3823" width="7.46484375" style="1095" customWidth="1"/>
    <col min="3824" max="3824" width="7.19921875" style="1095" customWidth="1"/>
    <col min="3825" max="3825" width="6.796875" style="1095" customWidth="1"/>
    <col min="3826" max="3826" width="6" style="1095" customWidth="1"/>
    <col min="3827" max="3827" width="6.53125" style="1095" customWidth="1"/>
    <col min="3828" max="3828" width="5" style="1095" customWidth="1"/>
    <col min="3829" max="3829" width="6" style="1095" customWidth="1"/>
    <col min="3830" max="3830" width="6.53125" style="1095" customWidth="1"/>
    <col min="3831" max="3831" width="5" style="1095" customWidth="1"/>
    <col min="3832" max="3832" width="6.796875" style="1095" customWidth="1"/>
    <col min="3833" max="4073" width="9.19921875" style="1095"/>
    <col min="4074" max="4074" width="3.19921875" style="1095" customWidth="1"/>
    <col min="4075" max="4075" width="36" style="1095" customWidth="1"/>
    <col min="4076" max="4076" width="8.19921875" style="1095" customWidth="1"/>
    <col min="4077" max="4077" width="12.796875" style="1095" customWidth="1"/>
    <col min="4078" max="4078" width="5.796875" style="1095" customWidth="1"/>
    <col min="4079" max="4079" width="7.46484375" style="1095" customWidth="1"/>
    <col min="4080" max="4080" width="7.19921875" style="1095" customWidth="1"/>
    <col min="4081" max="4081" width="6.796875" style="1095" customWidth="1"/>
    <col min="4082" max="4082" width="6" style="1095" customWidth="1"/>
    <col min="4083" max="4083" width="6.53125" style="1095" customWidth="1"/>
    <col min="4084" max="4084" width="5" style="1095" customWidth="1"/>
    <col min="4085" max="4085" width="6" style="1095" customWidth="1"/>
    <col min="4086" max="4086" width="6.53125" style="1095" customWidth="1"/>
    <col min="4087" max="4087" width="5" style="1095" customWidth="1"/>
    <col min="4088" max="4088" width="6.796875" style="1095" customWidth="1"/>
    <col min="4089" max="4329" width="9.19921875" style="1095"/>
    <col min="4330" max="4330" width="3.19921875" style="1095" customWidth="1"/>
    <col min="4331" max="4331" width="36" style="1095" customWidth="1"/>
    <col min="4332" max="4332" width="8.19921875" style="1095" customWidth="1"/>
    <col min="4333" max="4333" width="12.796875" style="1095" customWidth="1"/>
    <col min="4334" max="4334" width="5.796875" style="1095" customWidth="1"/>
    <col min="4335" max="4335" width="7.46484375" style="1095" customWidth="1"/>
    <col min="4336" max="4336" width="7.19921875" style="1095" customWidth="1"/>
    <col min="4337" max="4337" width="6.796875" style="1095" customWidth="1"/>
    <col min="4338" max="4338" width="6" style="1095" customWidth="1"/>
    <col min="4339" max="4339" width="6.53125" style="1095" customWidth="1"/>
    <col min="4340" max="4340" width="5" style="1095" customWidth="1"/>
    <col min="4341" max="4341" width="6" style="1095" customWidth="1"/>
    <col min="4342" max="4342" width="6.53125" style="1095" customWidth="1"/>
    <col min="4343" max="4343" width="5" style="1095" customWidth="1"/>
    <col min="4344" max="4344" width="6.796875" style="1095" customWidth="1"/>
    <col min="4345" max="4585" width="9.19921875" style="1095"/>
    <col min="4586" max="4586" width="3.19921875" style="1095" customWidth="1"/>
    <col min="4587" max="4587" width="36" style="1095" customWidth="1"/>
    <col min="4588" max="4588" width="8.19921875" style="1095" customWidth="1"/>
    <col min="4589" max="4589" width="12.796875" style="1095" customWidth="1"/>
    <col min="4590" max="4590" width="5.796875" style="1095" customWidth="1"/>
    <col min="4591" max="4591" width="7.46484375" style="1095" customWidth="1"/>
    <col min="4592" max="4592" width="7.19921875" style="1095" customWidth="1"/>
    <col min="4593" max="4593" width="6.796875" style="1095" customWidth="1"/>
    <col min="4594" max="4594" width="6" style="1095" customWidth="1"/>
    <col min="4595" max="4595" width="6.53125" style="1095" customWidth="1"/>
    <col min="4596" max="4596" width="5" style="1095" customWidth="1"/>
    <col min="4597" max="4597" width="6" style="1095" customWidth="1"/>
    <col min="4598" max="4598" width="6.53125" style="1095" customWidth="1"/>
    <col min="4599" max="4599" width="5" style="1095" customWidth="1"/>
    <col min="4600" max="4600" width="6.796875" style="1095" customWidth="1"/>
    <col min="4601" max="4841" width="9.19921875" style="1095"/>
    <col min="4842" max="4842" width="3.19921875" style="1095" customWidth="1"/>
    <col min="4843" max="4843" width="36" style="1095" customWidth="1"/>
    <col min="4844" max="4844" width="8.19921875" style="1095" customWidth="1"/>
    <col min="4845" max="4845" width="12.796875" style="1095" customWidth="1"/>
    <col min="4846" max="4846" width="5.796875" style="1095" customWidth="1"/>
    <col min="4847" max="4847" width="7.46484375" style="1095" customWidth="1"/>
    <col min="4848" max="4848" width="7.19921875" style="1095" customWidth="1"/>
    <col min="4849" max="4849" width="6.796875" style="1095" customWidth="1"/>
    <col min="4850" max="4850" width="6" style="1095" customWidth="1"/>
    <col min="4851" max="4851" width="6.53125" style="1095" customWidth="1"/>
    <col min="4852" max="4852" width="5" style="1095" customWidth="1"/>
    <col min="4853" max="4853" width="6" style="1095" customWidth="1"/>
    <col min="4854" max="4854" width="6.53125" style="1095" customWidth="1"/>
    <col min="4855" max="4855" width="5" style="1095" customWidth="1"/>
    <col min="4856" max="4856" width="6.796875" style="1095" customWidth="1"/>
    <col min="4857" max="5097" width="9.19921875" style="1095"/>
    <col min="5098" max="5098" width="3.19921875" style="1095" customWidth="1"/>
    <col min="5099" max="5099" width="36" style="1095" customWidth="1"/>
    <col min="5100" max="5100" width="8.19921875" style="1095" customWidth="1"/>
    <col min="5101" max="5101" width="12.796875" style="1095" customWidth="1"/>
    <col min="5102" max="5102" width="5.796875" style="1095" customWidth="1"/>
    <col min="5103" max="5103" width="7.46484375" style="1095" customWidth="1"/>
    <col min="5104" max="5104" width="7.19921875" style="1095" customWidth="1"/>
    <col min="5105" max="5105" width="6.796875" style="1095" customWidth="1"/>
    <col min="5106" max="5106" width="6" style="1095" customWidth="1"/>
    <col min="5107" max="5107" width="6.53125" style="1095" customWidth="1"/>
    <col min="5108" max="5108" width="5" style="1095" customWidth="1"/>
    <col min="5109" max="5109" width="6" style="1095" customWidth="1"/>
    <col min="5110" max="5110" width="6.53125" style="1095" customWidth="1"/>
    <col min="5111" max="5111" width="5" style="1095" customWidth="1"/>
    <col min="5112" max="5112" width="6.796875" style="1095" customWidth="1"/>
    <col min="5113" max="5353" width="9.19921875" style="1095"/>
    <col min="5354" max="5354" width="3.19921875" style="1095" customWidth="1"/>
    <col min="5355" max="5355" width="36" style="1095" customWidth="1"/>
    <col min="5356" max="5356" width="8.19921875" style="1095" customWidth="1"/>
    <col min="5357" max="5357" width="12.796875" style="1095" customWidth="1"/>
    <col min="5358" max="5358" width="5.796875" style="1095" customWidth="1"/>
    <col min="5359" max="5359" width="7.46484375" style="1095" customWidth="1"/>
    <col min="5360" max="5360" width="7.19921875" style="1095" customWidth="1"/>
    <col min="5361" max="5361" width="6.796875" style="1095" customWidth="1"/>
    <col min="5362" max="5362" width="6" style="1095" customWidth="1"/>
    <col min="5363" max="5363" width="6.53125" style="1095" customWidth="1"/>
    <col min="5364" max="5364" width="5" style="1095" customWidth="1"/>
    <col min="5365" max="5365" width="6" style="1095" customWidth="1"/>
    <col min="5366" max="5366" width="6.53125" style="1095" customWidth="1"/>
    <col min="5367" max="5367" width="5" style="1095" customWidth="1"/>
    <col min="5368" max="5368" width="6.796875" style="1095" customWidth="1"/>
    <col min="5369" max="5609" width="9.19921875" style="1095"/>
    <col min="5610" max="5610" width="3.19921875" style="1095" customWidth="1"/>
    <col min="5611" max="5611" width="36" style="1095" customWidth="1"/>
    <col min="5612" max="5612" width="8.19921875" style="1095" customWidth="1"/>
    <col min="5613" max="5613" width="12.796875" style="1095" customWidth="1"/>
    <col min="5614" max="5614" width="5.796875" style="1095" customWidth="1"/>
    <col min="5615" max="5615" width="7.46484375" style="1095" customWidth="1"/>
    <col min="5616" max="5616" width="7.19921875" style="1095" customWidth="1"/>
    <col min="5617" max="5617" width="6.796875" style="1095" customWidth="1"/>
    <col min="5618" max="5618" width="6" style="1095" customWidth="1"/>
    <col min="5619" max="5619" width="6.53125" style="1095" customWidth="1"/>
    <col min="5620" max="5620" width="5" style="1095" customWidth="1"/>
    <col min="5621" max="5621" width="6" style="1095" customWidth="1"/>
    <col min="5622" max="5622" width="6.53125" style="1095" customWidth="1"/>
    <col min="5623" max="5623" width="5" style="1095" customWidth="1"/>
    <col min="5624" max="5624" width="6.796875" style="1095" customWidth="1"/>
    <col min="5625" max="5865" width="9.19921875" style="1095"/>
    <col min="5866" max="5866" width="3.19921875" style="1095" customWidth="1"/>
    <col min="5867" max="5867" width="36" style="1095" customWidth="1"/>
    <col min="5868" max="5868" width="8.19921875" style="1095" customWidth="1"/>
    <col min="5869" max="5869" width="12.796875" style="1095" customWidth="1"/>
    <col min="5870" max="5870" width="5.796875" style="1095" customWidth="1"/>
    <col min="5871" max="5871" width="7.46484375" style="1095" customWidth="1"/>
    <col min="5872" max="5872" width="7.19921875" style="1095" customWidth="1"/>
    <col min="5873" max="5873" width="6.796875" style="1095" customWidth="1"/>
    <col min="5874" max="5874" width="6" style="1095" customWidth="1"/>
    <col min="5875" max="5875" width="6.53125" style="1095" customWidth="1"/>
    <col min="5876" max="5876" width="5" style="1095" customWidth="1"/>
    <col min="5877" max="5877" width="6" style="1095" customWidth="1"/>
    <col min="5878" max="5878" width="6.53125" style="1095" customWidth="1"/>
    <col min="5879" max="5879" width="5" style="1095" customWidth="1"/>
    <col min="5880" max="5880" width="6.796875" style="1095" customWidth="1"/>
    <col min="5881" max="6121" width="9.19921875" style="1095"/>
    <col min="6122" max="6122" width="3.19921875" style="1095" customWidth="1"/>
    <col min="6123" max="6123" width="36" style="1095" customWidth="1"/>
    <col min="6124" max="6124" width="8.19921875" style="1095" customWidth="1"/>
    <col min="6125" max="6125" width="12.796875" style="1095" customWidth="1"/>
    <col min="6126" max="6126" width="5.796875" style="1095" customWidth="1"/>
    <col min="6127" max="6127" width="7.46484375" style="1095" customWidth="1"/>
    <col min="6128" max="6128" width="7.19921875" style="1095" customWidth="1"/>
    <col min="6129" max="6129" width="6.796875" style="1095" customWidth="1"/>
    <col min="6130" max="6130" width="6" style="1095" customWidth="1"/>
    <col min="6131" max="6131" width="6.53125" style="1095" customWidth="1"/>
    <col min="6132" max="6132" width="5" style="1095" customWidth="1"/>
    <col min="6133" max="6133" width="6" style="1095" customWidth="1"/>
    <col min="6134" max="6134" width="6.53125" style="1095" customWidth="1"/>
    <col min="6135" max="6135" width="5" style="1095" customWidth="1"/>
    <col min="6136" max="6136" width="6.796875" style="1095" customWidth="1"/>
    <col min="6137" max="6377" width="9.19921875" style="1095"/>
    <col min="6378" max="6378" width="3.19921875" style="1095" customWidth="1"/>
    <col min="6379" max="6379" width="36" style="1095" customWidth="1"/>
    <col min="6380" max="6380" width="8.19921875" style="1095" customWidth="1"/>
    <col min="6381" max="6381" width="12.796875" style="1095" customWidth="1"/>
    <col min="6382" max="6382" width="5.796875" style="1095" customWidth="1"/>
    <col min="6383" max="6383" width="7.46484375" style="1095" customWidth="1"/>
    <col min="6384" max="6384" width="7.19921875" style="1095" customWidth="1"/>
    <col min="6385" max="6385" width="6.796875" style="1095" customWidth="1"/>
    <col min="6386" max="6386" width="6" style="1095" customWidth="1"/>
    <col min="6387" max="6387" width="6.53125" style="1095" customWidth="1"/>
    <col min="6388" max="6388" width="5" style="1095" customWidth="1"/>
    <col min="6389" max="6389" width="6" style="1095" customWidth="1"/>
    <col min="6390" max="6390" width="6.53125" style="1095" customWidth="1"/>
    <col min="6391" max="6391" width="5" style="1095" customWidth="1"/>
    <col min="6392" max="6392" width="6.796875" style="1095" customWidth="1"/>
    <col min="6393" max="6633" width="9.19921875" style="1095"/>
    <col min="6634" max="6634" width="3.19921875" style="1095" customWidth="1"/>
    <col min="6635" max="6635" width="36" style="1095" customWidth="1"/>
    <col min="6636" max="6636" width="8.19921875" style="1095" customWidth="1"/>
    <col min="6637" max="6637" width="12.796875" style="1095" customWidth="1"/>
    <col min="6638" max="6638" width="5.796875" style="1095" customWidth="1"/>
    <col min="6639" max="6639" width="7.46484375" style="1095" customWidth="1"/>
    <col min="6640" max="6640" width="7.19921875" style="1095" customWidth="1"/>
    <col min="6641" max="6641" width="6.796875" style="1095" customWidth="1"/>
    <col min="6642" max="6642" width="6" style="1095" customWidth="1"/>
    <col min="6643" max="6643" width="6.53125" style="1095" customWidth="1"/>
    <col min="6644" max="6644" width="5" style="1095" customWidth="1"/>
    <col min="6645" max="6645" width="6" style="1095" customWidth="1"/>
    <col min="6646" max="6646" width="6.53125" style="1095" customWidth="1"/>
    <col min="6647" max="6647" width="5" style="1095" customWidth="1"/>
    <col min="6648" max="6648" width="6.796875" style="1095" customWidth="1"/>
    <col min="6649" max="6889" width="9.19921875" style="1095"/>
    <col min="6890" max="6890" width="3.19921875" style="1095" customWidth="1"/>
    <col min="6891" max="6891" width="36" style="1095" customWidth="1"/>
    <col min="6892" max="6892" width="8.19921875" style="1095" customWidth="1"/>
    <col min="6893" max="6893" width="12.796875" style="1095" customWidth="1"/>
    <col min="6894" max="6894" width="5.796875" style="1095" customWidth="1"/>
    <col min="6895" max="6895" width="7.46484375" style="1095" customWidth="1"/>
    <col min="6896" max="6896" width="7.19921875" style="1095" customWidth="1"/>
    <col min="6897" max="6897" width="6.796875" style="1095" customWidth="1"/>
    <col min="6898" max="6898" width="6" style="1095" customWidth="1"/>
    <col min="6899" max="6899" width="6.53125" style="1095" customWidth="1"/>
    <col min="6900" max="6900" width="5" style="1095" customWidth="1"/>
    <col min="6901" max="6901" width="6" style="1095" customWidth="1"/>
    <col min="6902" max="6902" width="6.53125" style="1095" customWidth="1"/>
    <col min="6903" max="6903" width="5" style="1095" customWidth="1"/>
    <col min="6904" max="6904" width="6.796875" style="1095" customWidth="1"/>
    <col min="6905" max="7145" width="9.19921875" style="1095"/>
    <col min="7146" max="7146" width="3.19921875" style="1095" customWidth="1"/>
    <col min="7147" max="7147" width="36" style="1095" customWidth="1"/>
    <col min="7148" max="7148" width="8.19921875" style="1095" customWidth="1"/>
    <col min="7149" max="7149" width="12.796875" style="1095" customWidth="1"/>
    <col min="7150" max="7150" width="5.796875" style="1095" customWidth="1"/>
    <col min="7151" max="7151" width="7.46484375" style="1095" customWidth="1"/>
    <col min="7152" max="7152" width="7.19921875" style="1095" customWidth="1"/>
    <col min="7153" max="7153" width="6.796875" style="1095" customWidth="1"/>
    <col min="7154" max="7154" width="6" style="1095" customWidth="1"/>
    <col min="7155" max="7155" width="6.53125" style="1095" customWidth="1"/>
    <col min="7156" max="7156" width="5" style="1095" customWidth="1"/>
    <col min="7157" max="7157" width="6" style="1095" customWidth="1"/>
    <col min="7158" max="7158" width="6.53125" style="1095" customWidth="1"/>
    <col min="7159" max="7159" width="5" style="1095" customWidth="1"/>
    <col min="7160" max="7160" width="6.796875" style="1095" customWidth="1"/>
    <col min="7161" max="7401" width="9.19921875" style="1095"/>
    <col min="7402" max="7402" width="3.19921875" style="1095" customWidth="1"/>
    <col min="7403" max="7403" width="36" style="1095" customWidth="1"/>
    <col min="7404" max="7404" width="8.19921875" style="1095" customWidth="1"/>
    <col min="7405" max="7405" width="12.796875" style="1095" customWidth="1"/>
    <col min="7406" max="7406" width="5.796875" style="1095" customWidth="1"/>
    <col min="7407" max="7407" width="7.46484375" style="1095" customWidth="1"/>
    <col min="7408" max="7408" width="7.19921875" style="1095" customWidth="1"/>
    <col min="7409" max="7409" width="6.796875" style="1095" customWidth="1"/>
    <col min="7410" max="7410" width="6" style="1095" customWidth="1"/>
    <col min="7411" max="7411" width="6.53125" style="1095" customWidth="1"/>
    <col min="7412" max="7412" width="5" style="1095" customWidth="1"/>
    <col min="7413" max="7413" width="6" style="1095" customWidth="1"/>
    <col min="7414" max="7414" width="6.53125" style="1095" customWidth="1"/>
    <col min="7415" max="7415" width="5" style="1095" customWidth="1"/>
    <col min="7416" max="7416" width="6.796875" style="1095" customWidth="1"/>
    <col min="7417" max="7657" width="9.19921875" style="1095"/>
    <col min="7658" max="7658" width="3.19921875" style="1095" customWidth="1"/>
    <col min="7659" max="7659" width="36" style="1095" customWidth="1"/>
    <col min="7660" max="7660" width="8.19921875" style="1095" customWidth="1"/>
    <col min="7661" max="7661" width="12.796875" style="1095" customWidth="1"/>
    <col min="7662" max="7662" width="5.796875" style="1095" customWidth="1"/>
    <col min="7663" max="7663" width="7.46484375" style="1095" customWidth="1"/>
    <col min="7664" max="7664" width="7.19921875" style="1095" customWidth="1"/>
    <col min="7665" max="7665" width="6.796875" style="1095" customWidth="1"/>
    <col min="7666" max="7666" width="6" style="1095" customWidth="1"/>
    <col min="7667" max="7667" width="6.53125" style="1095" customWidth="1"/>
    <col min="7668" max="7668" width="5" style="1095" customWidth="1"/>
    <col min="7669" max="7669" width="6" style="1095" customWidth="1"/>
    <col min="7670" max="7670" width="6.53125" style="1095" customWidth="1"/>
    <col min="7671" max="7671" width="5" style="1095" customWidth="1"/>
    <col min="7672" max="7672" width="6.796875" style="1095" customWidth="1"/>
    <col min="7673" max="7913" width="9.19921875" style="1095"/>
    <col min="7914" max="7914" width="3.19921875" style="1095" customWidth="1"/>
    <col min="7915" max="7915" width="36" style="1095" customWidth="1"/>
    <col min="7916" max="7916" width="8.19921875" style="1095" customWidth="1"/>
    <col min="7917" max="7917" width="12.796875" style="1095" customWidth="1"/>
    <col min="7918" max="7918" width="5.796875" style="1095" customWidth="1"/>
    <col min="7919" max="7919" width="7.46484375" style="1095" customWidth="1"/>
    <col min="7920" max="7920" width="7.19921875" style="1095" customWidth="1"/>
    <col min="7921" max="7921" width="6.796875" style="1095" customWidth="1"/>
    <col min="7922" max="7922" width="6" style="1095" customWidth="1"/>
    <col min="7923" max="7923" width="6.53125" style="1095" customWidth="1"/>
    <col min="7924" max="7924" width="5" style="1095" customWidth="1"/>
    <col min="7925" max="7925" width="6" style="1095" customWidth="1"/>
    <col min="7926" max="7926" width="6.53125" style="1095" customWidth="1"/>
    <col min="7927" max="7927" width="5" style="1095" customWidth="1"/>
    <col min="7928" max="7928" width="6.796875" style="1095" customWidth="1"/>
    <col min="7929" max="8169" width="9.19921875" style="1095"/>
    <col min="8170" max="8170" width="3.19921875" style="1095" customWidth="1"/>
    <col min="8171" max="8171" width="36" style="1095" customWidth="1"/>
    <col min="8172" max="8172" width="8.19921875" style="1095" customWidth="1"/>
    <col min="8173" max="8173" width="12.796875" style="1095" customWidth="1"/>
    <col min="8174" max="8174" width="5.796875" style="1095" customWidth="1"/>
    <col min="8175" max="8175" width="7.46484375" style="1095" customWidth="1"/>
    <col min="8176" max="8176" width="7.19921875" style="1095" customWidth="1"/>
    <col min="8177" max="8177" width="6.796875" style="1095" customWidth="1"/>
    <col min="8178" max="8178" width="6" style="1095" customWidth="1"/>
    <col min="8179" max="8179" width="6.53125" style="1095" customWidth="1"/>
    <col min="8180" max="8180" width="5" style="1095" customWidth="1"/>
    <col min="8181" max="8181" width="6" style="1095" customWidth="1"/>
    <col min="8182" max="8182" width="6.53125" style="1095" customWidth="1"/>
    <col min="8183" max="8183" width="5" style="1095" customWidth="1"/>
    <col min="8184" max="8184" width="6.796875" style="1095" customWidth="1"/>
    <col min="8185" max="8425" width="9.19921875" style="1095"/>
    <col min="8426" max="8426" width="3.19921875" style="1095" customWidth="1"/>
    <col min="8427" max="8427" width="36" style="1095" customWidth="1"/>
    <col min="8428" max="8428" width="8.19921875" style="1095" customWidth="1"/>
    <col min="8429" max="8429" width="12.796875" style="1095" customWidth="1"/>
    <col min="8430" max="8430" width="5.796875" style="1095" customWidth="1"/>
    <col min="8431" max="8431" width="7.46484375" style="1095" customWidth="1"/>
    <col min="8432" max="8432" width="7.19921875" style="1095" customWidth="1"/>
    <col min="8433" max="8433" width="6.796875" style="1095" customWidth="1"/>
    <col min="8434" max="8434" width="6" style="1095" customWidth="1"/>
    <col min="8435" max="8435" width="6.53125" style="1095" customWidth="1"/>
    <col min="8436" max="8436" width="5" style="1095" customWidth="1"/>
    <col min="8437" max="8437" width="6" style="1095" customWidth="1"/>
    <col min="8438" max="8438" width="6.53125" style="1095" customWidth="1"/>
    <col min="8439" max="8439" width="5" style="1095" customWidth="1"/>
    <col min="8440" max="8440" width="6.796875" style="1095" customWidth="1"/>
    <col min="8441" max="8681" width="9.19921875" style="1095"/>
    <col min="8682" max="8682" width="3.19921875" style="1095" customWidth="1"/>
    <col min="8683" max="8683" width="36" style="1095" customWidth="1"/>
    <col min="8684" max="8684" width="8.19921875" style="1095" customWidth="1"/>
    <col min="8685" max="8685" width="12.796875" style="1095" customWidth="1"/>
    <col min="8686" max="8686" width="5.796875" style="1095" customWidth="1"/>
    <col min="8687" max="8687" width="7.46484375" style="1095" customWidth="1"/>
    <col min="8688" max="8688" width="7.19921875" style="1095" customWidth="1"/>
    <col min="8689" max="8689" width="6.796875" style="1095" customWidth="1"/>
    <col min="8690" max="8690" width="6" style="1095" customWidth="1"/>
    <col min="8691" max="8691" width="6.53125" style="1095" customWidth="1"/>
    <col min="8692" max="8692" width="5" style="1095" customWidth="1"/>
    <col min="8693" max="8693" width="6" style="1095" customWidth="1"/>
    <col min="8694" max="8694" width="6.53125" style="1095" customWidth="1"/>
    <col min="8695" max="8695" width="5" style="1095" customWidth="1"/>
    <col min="8696" max="8696" width="6.796875" style="1095" customWidth="1"/>
    <col min="8697" max="8937" width="9.19921875" style="1095"/>
    <col min="8938" max="8938" width="3.19921875" style="1095" customWidth="1"/>
    <col min="8939" max="8939" width="36" style="1095" customWidth="1"/>
    <col min="8940" max="8940" width="8.19921875" style="1095" customWidth="1"/>
    <col min="8941" max="8941" width="12.796875" style="1095" customWidth="1"/>
    <col min="8942" max="8942" width="5.796875" style="1095" customWidth="1"/>
    <col min="8943" max="8943" width="7.46484375" style="1095" customWidth="1"/>
    <col min="8944" max="8944" width="7.19921875" style="1095" customWidth="1"/>
    <col min="8945" max="8945" width="6.796875" style="1095" customWidth="1"/>
    <col min="8946" max="8946" width="6" style="1095" customWidth="1"/>
    <col min="8947" max="8947" width="6.53125" style="1095" customWidth="1"/>
    <col min="8948" max="8948" width="5" style="1095" customWidth="1"/>
    <col min="8949" max="8949" width="6" style="1095" customWidth="1"/>
    <col min="8950" max="8950" width="6.53125" style="1095" customWidth="1"/>
    <col min="8951" max="8951" width="5" style="1095" customWidth="1"/>
    <col min="8952" max="8952" width="6.796875" style="1095" customWidth="1"/>
    <col min="8953" max="9193" width="9.19921875" style="1095"/>
    <col min="9194" max="9194" width="3.19921875" style="1095" customWidth="1"/>
    <col min="9195" max="9195" width="36" style="1095" customWidth="1"/>
    <col min="9196" max="9196" width="8.19921875" style="1095" customWidth="1"/>
    <col min="9197" max="9197" width="12.796875" style="1095" customWidth="1"/>
    <col min="9198" max="9198" width="5.796875" style="1095" customWidth="1"/>
    <col min="9199" max="9199" width="7.46484375" style="1095" customWidth="1"/>
    <col min="9200" max="9200" width="7.19921875" style="1095" customWidth="1"/>
    <col min="9201" max="9201" width="6.796875" style="1095" customWidth="1"/>
    <col min="9202" max="9202" width="6" style="1095" customWidth="1"/>
    <col min="9203" max="9203" width="6.53125" style="1095" customWidth="1"/>
    <col min="9204" max="9204" width="5" style="1095" customWidth="1"/>
    <col min="9205" max="9205" width="6" style="1095" customWidth="1"/>
    <col min="9206" max="9206" width="6.53125" style="1095" customWidth="1"/>
    <col min="9207" max="9207" width="5" style="1095" customWidth="1"/>
    <col min="9208" max="9208" width="6.796875" style="1095" customWidth="1"/>
    <col min="9209" max="9449" width="9.19921875" style="1095"/>
    <col min="9450" max="9450" width="3.19921875" style="1095" customWidth="1"/>
    <col min="9451" max="9451" width="36" style="1095" customWidth="1"/>
    <col min="9452" max="9452" width="8.19921875" style="1095" customWidth="1"/>
    <col min="9453" max="9453" width="12.796875" style="1095" customWidth="1"/>
    <col min="9454" max="9454" width="5.796875" style="1095" customWidth="1"/>
    <col min="9455" max="9455" width="7.46484375" style="1095" customWidth="1"/>
    <col min="9456" max="9456" width="7.19921875" style="1095" customWidth="1"/>
    <col min="9457" max="9457" width="6.796875" style="1095" customWidth="1"/>
    <col min="9458" max="9458" width="6" style="1095" customWidth="1"/>
    <col min="9459" max="9459" width="6.53125" style="1095" customWidth="1"/>
    <col min="9460" max="9460" width="5" style="1095" customWidth="1"/>
    <col min="9461" max="9461" width="6" style="1095" customWidth="1"/>
    <col min="9462" max="9462" width="6.53125" style="1095" customWidth="1"/>
    <col min="9463" max="9463" width="5" style="1095" customWidth="1"/>
    <col min="9464" max="9464" width="6.796875" style="1095" customWidth="1"/>
    <col min="9465" max="9705" width="9.19921875" style="1095"/>
    <col min="9706" max="9706" width="3.19921875" style="1095" customWidth="1"/>
    <col min="9707" max="9707" width="36" style="1095" customWidth="1"/>
    <col min="9708" max="9708" width="8.19921875" style="1095" customWidth="1"/>
    <col min="9709" max="9709" width="12.796875" style="1095" customWidth="1"/>
    <col min="9710" max="9710" width="5.796875" style="1095" customWidth="1"/>
    <col min="9711" max="9711" width="7.46484375" style="1095" customWidth="1"/>
    <col min="9712" max="9712" width="7.19921875" style="1095" customWidth="1"/>
    <col min="9713" max="9713" width="6.796875" style="1095" customWidth="1"/>
    <col min="9714" max="9714" width="6" style="1095" customWidth="1"/>
    <col min="9715" max="9715" width="6.53125" style="1095" customWidth="1"/>
    <col min="9716" max="9716" width="5" style="1095" customWidth="1"/>
    <col min="9717" max="9717" width="6" style="1095" customWidth="1"/>
    <col min="9718" max="9718" width="6.53125" style="1095" customWidth="1"/>
    <col min="9719" max="9719" width="5" style="1095" customWidth="1"/>
    <col min="9720" max="9720" width="6.796875" style="1095" customWidth="1"/>
    <col min="9721" max="9961" width="9.19921875" style="1095"/>
    <col min="9962" max="9962" width="3.19921875" style="1095" customWidth="1"/>
    <col min="9963" max="9963" width="36" style="1095" customWidth="1"/>
    <col min="9964" max="9964" width="8.19921875" style="1095" customWidth="1"/>
    <col min="9965" max="9965" width="12.796875" style="1095" customWidth="1"/>
    <col min="9966" max="9966" width="5.796875" style="1095" customWidth="1"/>
    <col min="9967" max="9967" width="7.46484375" style="1095" customWidth="1"/>
    <col min="9968" max="9968" width="7.19921875" style="1095" customWidth="1"/>
    <col min="9969" max="9969" width="6.796875" style="1095" customWidth="1"/>
    <col min="9970" max="9970" width="6" style="1095" customWidth="1"/>
    <col min="9971" max="9971" width="6.53125" style="1095" customWidth="1"/>
    <col min="9972" max="9972" width="5" style="1095" customWidth="1"/>
    <col min="9973" max="9973" width="6" style="1095" customWidth="1"/>
    <col min="9974" max="9974" width="6.53125" style="1095" customWidth="1"/>
    <col min="9975" max="9975" width="5" style="1095" customWidth="1"/>
    <col min="9976" max="9976" width="6.796875" style="1095" customWidth="1"/>
    <col min="9977" max="10217" width="9.19921875" style="1095"/>
    <col min="10218" max="10218" width="3.19921875" style="1095" customWidth="1"/>
    <col min="10219" max="10219" width="36" style="1095" customWidth="1"/>
    <col min="10220" max="10220" width="8.19921875" style="1095" customWidth="1"/>
    <col min="10221" max="10221" width="12.796875" style="1095" customWidth="1"/>
    <col min="10222" max="10222" width="5.796875" style="1095" customWidth="1"/>
    <col min="10223" max="10223" width="7.46484375" style="1095" customWidth="1"/>
    <col min="10224" max="10224" width="7.19921875" style="1095" customWidth="1"/>
    <col min="10225" max="10225" width="6.796875" style="1095" customWidth="1"/>
    <col min="10226" max="10226" width="6" style="1095" customWidth="1"/>
    <col min="10227" max="10227" width="6.53125" style="1095" customWidth="1"/>
    <col min="10228" max="10228" width="5" style="1095" customWidth="1"/>
    <col min="10229" max="10229" width="6" style="1095" customWidth="1"/>
    <col min="10230" max="10230" width="6.53125" style="1095" customWidth="1"/>
    <col min="10231" max="10231" width="5" style="1095" customWidth="1"/>
    <col min="10232" max="10232" width="6.796875" style="1095" customWidth="1"/>
    <col min="10233" max="10473" width="9.19921875" style="1095"/>
    <col min="10474" max="10474" width="3.19921875" style="1095" customWidth="1"/>
    <col min="10475" max="10475" width="36" style="1095" customWidth="1"/>
    <col min="10476" max="10476" width="8.19921875" style="1095" customWidth="1"/>
    <col min="10477" max="10477" width="12.796875" style="1095" customWidth="1"/>
    <col min="10478" max="10478" width="5.796875" style="1095" customWidth="1"/>
    <col min="10479" max="10479" width="7.46484375" style="1095" customWidth="1"/>
    <col min="10480" max="10480" width="7.19921875" style="1095" customWidth="1"/>
    <col min="10481" max="10481" width="6.796875" style="1095" customWidth="1"/>
    <col min="10482" max="10482" width="6" style="1095" customWidth="1"/>
    <col min="10483" max="10483" width="6.53125" style="1095" customWidth="1"/>
    <col min="10484" max="10484" width="5" style="1095" customWidth="1"/>
    <col min="10485" max="10485" width="6" style="1095" customWidth="1"/>
    <col min="10486" max="10486" width="6.53125" style="1095" customWidth="1"/>
    <col min="10487" max="10487" width="5" style="1095" customWidth="1"/>
    <col min="10488" max="10488" width="6.796875" style="1095" customWidth="1"/>
    <col min="10489" max="10729" width="9.19921875" style="1095"/>
    <col min="10730" max="10730" width="3.19921875" style="1095" customWidth="1"/>
    <col min="10731" max="10731" width="36" style="1095" customWidth="1"/>
    <col min="10732" max="10732" width="8.19921875" style="1095" customWidth="1"/>
    <col min="10733" max="10733" width="12.796875" style="1095" customWidth="1"/>
    <col min="10734" max="10734" width="5.796875" style="1095" customWidth="1"/>
    <col min="10735" max="10735" width="7.46484375" style="1095" customWidth="1"/>
    <col min="10736" max="10736" width="7.19921875" style="1095" customWidth="1"/>
    <col min="10737" max="10737" width="6.796875" style="1095" customWidth="1"/>
    <col min="10738" max="10738" width="6" style="1095" customWidth="1"/>
    <col min="10739" max="10739" width="6.53125" style="1095" customWidth="1"/>
    <col min="10740" max="10740" width="5" style="1095" customWidth="1"/>
    <col min="10741" max="10741" width="6" style="1095" customWidth="1"/>
    <col min="10742" max="10742" width="6.53125" style="1095" customWidth="1"/>
    <col min="10743" max="10743" width="5" style="1095" customWidth="1"/>
    <col min="10744" max="10744" width="6.796875" style="1095" customWidth="1"/>
    <col min="10745" max="10985" width="9.19921875" style="1095"/>
    <col min="10986" max="10986" width="3.19921875" style="1095" customWidth="1"/>
    <col min="10987" max="10987" width="36" style="1095" customWidth="1"/>
    <col min="10988" max="10988" width="8.19921875" style="1095" customWidth="1"/>
    <col min="10989" max="10989" width="12.796875" style="1095" customWidth="1"/>
    <col min="10990" max="10990" width="5.796875" style="1095" customWidth="1"/>
    <col min="10991" max="10991" width="7.46484375" style="1095" customWidth="1"/>
    <col min="10992" max="10992" width="7.19921875" style="1095" customWidth="1"/>
    <col min="10993" max="10993" width="6.796875" style="1095" customWidth="1"/>
    <col min="10994" max="10994" width="6" style="1095" customWidth="1"/>
    <col min="10995" max="10995" width="6.53125" style="1095" customWidth="1"/>
    <col min="10996" max="10996" width="5" style="1095" customWidth="1"/>
    <col min="10997" max="10997" width="6" style="1095" customWidth="1"/>
    <col min="10998" max="10998" width="6.53125" style="1095" customWidth="1"/>
    <col min="10999" max="10999" width="5" style="1095" customWidth="1"/>
    <col min="11000" max="11000" width="6.796875" style="1095" customWidth="1"/>
    <col min="11001" max="11241" width="9.19921875" style="1095"/>
    <col min="11242" max="11242" width="3.19921875" style="1095" customWidth="1"/>
    <col min="11243" max="11243" width="36" style="1095" customWidth="1"/>
    <col min="11244" max="11244" width="8.19921875" style="1095" customWidth="1"/>
    <col min="11245" max="11245" width="12.796875" style="1095" customWidth="1"/>
    <col min="11246" max="11246" width="5.796875" style="1095" customWidth="1"/>
    <col min="11247" max="11247" width="7.46484375" style="1095" customWidth="1"/>
    <col min="11248" max="11248" width="7.19921875" style="1095" customWidth="1"/>
    <col min="11249" max="11249" width="6.796875" style="1095" customWidth="1"/>
    <col min="11250" max="11250" width="6" style="1095" customWidth="1"/>
    <col min="11251" max="11251" width="6.53125" style="1095" customWidth="1"/>
    <col min="11252" max="11252" width="5" style="1095" customWidth="1"/>
    <col min="11253" max="11253" width="6" style="1095" customWidth="1"/>
    <col min="11254" max="11254" width="6.53125" style="1095" customWidth="1"/>
    <col min="11255" max="11255" width="5" style="1095" customWidth="1"/>
    <col min="11256" max="11256" width="6.796875" style="1095" customWidth="1"/>
    <col min="11257" max="11497" width="9.19921875" style="1095"/>
    <col min="11498" max="11498" width="3.19921875" style="1095" customWidth="1"/>
    <col min="11499" max="11499" width="36" style="1095" customWidth="1"/>
    <col min="11500" max="11500" width="8.19921875" style="1095" customWidth="1"/>
    <col min="11501" max="11501" width="12.796875" style="1095" customWidth="1"/>
    <col min="11502" max="11502" width="5.796875" style="1095" customWidth="1"/>
    <col min="11503" max="11503" width="7.46484375" style="1095" customWidth="1"/>
    <col min="11504" max="11504" width="7.19921875" style="1095" customWidth="1"/>
    <col min="11505" max="11505" width="6.796875" style="1095" customWidth="1"/>
    <col min="11506" max="11506" width="6" style="1095" customWidth="1"/>
    <col min="11507" max="11507" width="6.53125" style="1095" customWidth="1"/>
    <col min="11508" max="11508" width="5" style="1095" customWidth="1"/>
    <col min="11509" max="11509" width="6" style="1095" customWidth="1"/>
    <col min="11510" max="11510" width="6.53125" style="1095" customWidth="1"/>
    <col min="11511" max="11511" width="5" style="1095" customWidth="1"/>
    <col min="11512" max="11512" width="6.796875" style="1095" customWidth="1"/>
    <col min="11513" max="11753" width="9.19921875" style="1095"/>
    <col min="11754" max="11754" width="3.19921875" style="1095" customWidth="1"/>
    <col min="11755" max="11755" width="36" style="1095" customWidth="1"/>
    <col min="11756" max="11756" width="8.19921875" style="1095" customWidth="1"/>
    <col min="11757" max="11757" width="12.796875" style="1095" customWidth="1"/>
    <col min="11758" max="11758" width="5.796875" style="1095" customWidth="1"/>
    <col min="11759" max="11759" width="7.46484375" style="1095" customWidth="1"/>
    <col min="11760" max="11760" width="7.19921875" style="1095" customWidth="1"/>
    <col min="11761" max="11761" width="6.796875" style="1095" customWidth="1"/>
    <col min="11762" max="11762" width="6" style="1095" customWidth="1"/>
    <col min="11763" max="11763" width="6.53125" style="1095" customWidth="1"/>
    <col min="11764" max="11764" width="5" style="1095" customWidth="1"/>
    <col min="11765" max="11765" width="6" style="1095" customWidth="1"/>
    <col min="11766" max="11766" width="6.53125" style="1095" customWidth="1"/>
    <col min="11767" max="11767" width="5" style="1095" customWidth="1"/>
    <col min="11768" max="11768" width="6.796875" style="1095" customWidth="1"/>
    <col min="11769" max="12009" width="9.19921875" style="1095"/>
    <col min="12010" max="12010" width="3.19921875" style="1095" customWidth="1"/>
    <col min="12011" max="12011" width="36" style="1095" customWidth="1"/>
    <col min="12012" max="12012" width="8.19921875" style="1095" customWidth="1"/>
    <col min="12013" max="12013" width="12.796875" style="1095" customWidth="1"/>
    <col min="12014" max="12014" width="5.796875" style="1095" customWidth="1"/>
    <col min="12015" max="12015" width="7.46484375" style="1095" customWidth="1"/>
    <col min="12016" max="12016" width="7.19921875" style="1095" customWidth="1"/>
    <col min="12017" max="12017" width="6.796875" style="1095" customWidth="1"/>
    <col min="12018" max="12018" width="6" style="1095" customWidth="1"/>
    <col min="12019" max="12019" width="6.53125" style="1095" customWidth="1"/>
    <col min="12020" max="12020" width="5" style="1095" customWidth="1"/>
    <col min="12021" max="12021" width="6" style="1095" customWidth="1"/>
    <col min="12022" max="12022" width="6.53125" style="1095" customWidth="1"/>
    <col min="12023" max="12023" width="5" style="1095" customWidth="1"/>
    <col min="12024" max="12024" width="6.796875" style="1095" customWidth="1"/>
    <col min="12025" max="12265" width="9.19921875" style="1095"/>
    <col min="12266" max="12266" width="3.19921875" style="1095" customWidth="1"/>
    <col min="12267" max="12267" width="36" style="1095" customWidth="1"/>
    <col min="12268" max="12268" width="8.19921875" style="1095" customWidth="1"/>
    <col min="12269" max="12269" width="12.796875" style="1095" customWidth="1"/>
    <col min="12270" max="12270" width="5.796875" style="1095" customWidth="1"/>
    <col min="12271" max="12271" width="7.46484375" style="1095" customWidth="1"/>
    <col min="12272" max="12272" width="7.19921875" style="1095" customWidth="1"/>
    <col min="12273" max="12273" width="6.796875" style="1095" customWidth="1"/>
    <col min="12274" max="12274" width="6" style="1095" customWidth="1"/>
    <col min="12275" max="12275" width="6.53125" style="1095" customWidth="1"/>
    <col min="12276" max="12276" width="5" style="1095" customWidth="1"/>
    <col min="12277" max="12277" width="6" style="1095" customWidth="1"/>
    <col min="12278" max="12278" width="6.53125" style="1095" customWidth="1"/>
    <col min="12279" max="12279" width="5" style="1095" customWidth="1"/>
    <col min="12280" max="12280" width="6.796875" style="1095" customWidth="1"/>
    <col min="12281" max="12521" width="9.19921875" style="1095"/>
    <col min="12522" max="12522" width="3.19921875" style="1095" customWidth="1"/>
    <col min="12523" max="12523" width="36" style="1095" customWidth="1"/>
    <col min="12524" max="12524" width="8.19921875" style="1095" customWidth="1"/>
    <col min="12525" max="12525" width="12.796875" style="1095" customWidth="1"/>
    <col min="12526" max="12526" width="5.796875" style="1095" customWidth="1"/>
    <col min="12527" max="12527" width="7.46484375" style="1095" customWidth="1"/>
    <col min="12528" max="12528" width="7.19921875" style="1095" customWidth="1"/>
    <col min="12529" max="12529" width="6.796875" style="1095" customWidth="1"/>
    <col min="12530" max="12530" width="6" style="1095" customWidth="1"/>
    <col min="12531" max="12531" width="6.53125" style="1095" customWidth="1"/>
    <col min="12532" max="12532" width="5" style="1095" customWidth="1"/>
    <col min="12533" max="12533" width="6" style="1095" customWidth="1"/>
    <col min="12534" max="12534" width="6.53125" style="1095" customWidth="1"/>
    <col min="12535" max="12535" width="5" style="1095" customWidth="1"/>
    <col min="12536" max="12536" width="6.796875" style="1095" customWidth="1"/>
    <col min="12537" max="12777" width="9.19921875" style="1095"/>
    <col min="12778" max="12778" width="3.19921875" style="1095" customWidth="1"/>
    <col min="12779" max="12779" width="36" style="1095" customWidth="1"/>
    <col min="12780" max="12780" width="8.19921875" style="1095" customWidth="1"/>
    <col min="12781" max="12781" width="12.796875" style="1095" customWidth="1"/>
    <col min="12782" max="12782" width="5.796875" style="1095" customWidth="1"/>
    <col min="12783" max="12783" width="7.46484375" style="1095" customWidth="1"/>
    <col min="12784" max="12784" width="7.19921875" style="1095" customWidth="1"/>
    <col min="12785" max="12785" width="6.796875" style="1095" customWidth="1"/>
    <col min="12786" max="12786" width="6" style="1095" customWidth="1"/>
    <col min="12787" max="12787" width="6.53125" style="1095" customWidth="1"/>
    <col min="12788" max="12788" width="5" style="1095" customWidth="1"/>
    <col min="12789" max="12789" width="6" style="1095" customWidth="1"/>
    <col min="12790" max="12790" width="6.53125" style="1095" customWidth="1"/>
    <col min="12791" max="12791" width="5" style="1095" customWidth="1"/>
    <col min="12792" max="12792" width="6.796875" style="1095" customWidth="1"/>
    <col min="12793" max="13033" width="9.19921875" style="1095"/>
    <col min="13034" max="13034" width="3.19921875" style="1095" customWidth="1"/>
    <col min="13035" max="13035" width="36" style="1095" customWidth="1"/>
    <col min="13036" max="13036" width="8.19921875" style="1095" customWidth="1"/>
    <col min="13037" max="13037" width="12.796875" style="1095" customWidth="1"/>
    <col min="13038" max="13038" width="5.796875" style="1095" customWidth="1"/>
    <col min="13039" max="13039" width="7.46484375" style="1095" customWidth="1"/>
    <col min="13040" max="13040" width="7.19921875" style="1095" customWidth="1"/>
    <col min="13041" max="13041" width="6.796875" style="1095" customWidth="1"/>
    <col min="13042" max="13042" width="6" style="1095" customWidth="1"/>
    <col min="13043" max="13043" width="6.53125" style="1095" customWidth="1"/>
    <col min="13044" max="13044" width="5" style="1095" customWidth="1"/>
    <col min="13045" max="13045" width="6" style="1095" customWidth="1"/>
    <col min="13046" max="13046" width="6.53125" style="1095" customWidth="1"/>
    <col min="13047" max="13047" width="5" style="1095" customWidth="1"/>
    <col min="13048" max="13048" width="6.796875" style="1095" customWidth="1"/>
    <col min="13049" max="13289" width="9.19921875" style="1095"/>
    <col min="13290" max="13290" width="3.19921875" style="1095" customWidth="1"/>
    <col min="13291" max="13291" width="36" style="1095" customWidth="1"/>
    <col min="13292" max="13292" width="8.19921875" style="1095" customWidth="1"/>
    <col min="13293" max="13293" width="12.796875" style="1095" customWidth="1"/>
    <col min="13294" max="13294" width="5.796875" style="1095" customWidth="1"/>
    <col min="13295" max="13295" width="7.46484375" style="1095" customWidth="1"/>
    <col min="13296" max="13296" width="7.19921875" style="1095" customWidth="1"/>
    <col min="13297" max="13297" width="6.796875" style="1095" customWidth="1"/>
    <col min="13298" max="13298" width="6" style="1095" customWidth="1"/>
    <col min="13299" max="13299" width="6.53125" style="1095" customWidth="1"/>
    <col min="13300" max="13300" width="5" style="1095" customWidth="1"/>
    <col min="13301" max="13301" width="6" style="1095" customWidth="1"/>
    <col min="13302" max="13302" width="6.53125" style="1095" customWidth="1"/>
    <col min="13303" max="13303" width="5" style="1095" customWidth="1"/>
    <col min="13304" max="13304" width="6.796875" style="1095" customWidth="1"/>
    <col min="13305" max="13545" width="9.19921875" style="1095"/>
    <col min="13546" max="13546" width="3.19921875" style="1095" customWidth="1"/>
    <col min="13547" max="13547" width="36" style="1095" customWidth="1"/>
    <col min="13548" max="13548" width="8.19921875" style="1095" customWidth="1"/>
    <col min="13549" max="13549" width="12.796875" style="1095" customWidth="1"/>
    <col min="13550" max="13550" width="5.796875" style="1095" customWidth="1"/>
    <col min="13551" max="13551" width="7.46484375" style="1095" customWidth="1"/>
    <col min="13552" max="13552" width="7.19921875" style="1095" customWidth="1"/>
    <col min="13553" max="13553" width="6.796875" style="1095" customWidth="1"/>
    <col min="13554" max="13554" width="6" style="1095" customWidth="1"/>
    <col min="13555" max="13555" width="6.53125" style="1095" customWidth="1"/>
    <col min="13556" max="13556" width="5" style="1095" customWidth="1"/>
    <col min="13557" max="13557" width="6" style="1095" customWidth="1"/>
    <col min="13558" max="13558" width="6.53125" style="1095" customWidth="1"/>
    <col min="13559" max="13559" width="5" style="1095" customWidth="1"/>
    <col min="13560" max="13560" width="6.796875" style="1095" customWidth="1"/>
    <col min="13561" max="13801" width="9.19921875" style="1095"/>
    <col min="13802" max="13802" width="3.19921875" style="1095" customWidth="1"/>
    <col min="13803" max="13803" width="36" style="1095" customWidth="1"/>
    <col min="13804" max="13804" width="8.19921875" style="1095" customWidth="1"/>
    <col min="13805" max="13805" width="12.796875" style="1095" customWidth="1"/>
    <col min="13806" max="13806" width="5.796875" style="1095" customWidth="1"/>
    <col min="13807" max="13807" width="7.46484375" style="1095" customWidth="1"/>
    <col min="13808" max="13808" width="7.19921875" style="1095" customWidth="1"/>
    <col min="13809" max="13809" width="6.796875" style="1095" customWidth="1"/>
    <col min="13810" max="13810" width="6" style="1095" customWidth="1"/>
    <col min="13811" max="13811" width="6.53125" style="1095" customWidth="1"/>
    <col min="13812" max="13812" width="5" style="1095" customWidth="1"/>
    <col min="13813" max="13813" width="6" style="1095" customWidth="1"/>
    <col min="13814" max="13814" width="6.53125" style="1095" customWidth="1"/>
    <col min="13815" max="13815" width="5" style="1095" customWidth="1"/>
    <col min="13816" max="13816" width="6.796875" style="1095" customWidth="1"/>
    <col min="13817" max="14057" width="9.19921875" style="1095"/>
    <col min="14058" max="14058" width="3.19921875" style="1095" customWidth="1"/>
    <col min="14059" max="14059" width="36" style="1095" customWidth="1"/>
    <col min="14060" max="14060" width="8.19921875" style="1095" customWidth="1"/>
    <col min="14061" max="14061" width="12.796875" style="1095" customWidth="1"/>
    <col min="14062" max="14062" width="5.796875" style="1095" customWidth="1"/>
    <col min="14063" max="14063" width="7.46484375" style="1095" customWidth="1"/>
    <col min="14064" max="14064" width="7.19921875" style="1095" customWidth="1"/>
    <col min="14065" max="14065" width="6.796875" style="1095" customWidth="1"/>
    <col min="14066" max="14066" width="6" style="1095" customWidth="1"/>
    <col min="14067" max="14067" width="6.53125" style="1095" customWidth="1"/>
    <col min="14068" max="14068" width="5" style="1095" customWidth="1"/>
    <col min="14069" max="14069" width="6" style="1095" customWidth="1"/>
    <col min="14070" max="14070" width="6.53125" style="1095" customWidth="1"/>
    <col min="14071" max="14071" width="5" style="1095" customWidth="1"/>
    <col min="14072" max="14072" width="6.796875" style="1095" customWidth="1"/>
    <col min="14073" max="14313" width="9.19921875" style="1095"/>
    <col min="14314" max="14314" width="3.19921875" style="1095" customWidth="1"/>
    <col min="14315" max="14315" width="36" style="1095" customWidth="1"/>
    <col min="14316" max="14316" width="8.19921875" style="1095" customWidth="1"/>
    <col min="14317" max="14317" width="12.796875" style="1095" customWidth="1"/>
    <col min="14318" max="14318" width="5.796875" style="1095" customWidth="1"/>
    <col min="14319" max="14319" width="7.46484375" style="1095" customWidth="1"/>
    <col min="14320" max="14320" width="7.19921875" style="1095" customWidth="1"/>
    <col min="14321" max="14321" width="6.796875" style="1095" customWidth="1"/>
    <col min="14322" max="14322" width="6" style="1095" customWidth="1"/>
    <col min="14323" max="14323" width="6.53125" style="1095" customWidth="1"/>
    <col min="14324" max="14324" width="5" style="1095" customWidth="1"/>
    <col min="14325" max="14325" width="6" style="1095" customWidth="1"/>
    <col min="14326" max="14326" width="6.53125" style="1095" customWidth="1"/>
    <col min="14327" max="14327" width="5" style="1095" customWidth="1"/>
    <col min="14328" max="14328" width="6.796875" style="1095" customWidth="1"/>
    <col min="14329" max="14569" width="9.19921875" style="1095"/>
    <col min="14570" max="14570" width="3.19921875" style="1095" customWidth="1"/>
    <col min="14571" max="14571" width="36" style="1095" customWidth="1"/>
    <col min="14572" max="14572" width="8.19921875" style="1095" customWidth="1"/>
    <col min="14573" max="14573" width="12.796875" style="1095" customWidth="1"/>
    <col min="14574" max="14574" width="5.796875" style="1095" customWidth="1"/>
    <col min="14575" max="14575" width="7.46484375" style="1095" customWidth="1"/>
    <col min="14576" max="14576" width="7.19921875" style="1095" customWidth="1"/>
    <col min="14577" max="14577" width="6.796875" style="1095" customWidth="1"/>
    <col min="14578" max="14578" width="6" style="1095" customWidth="1"/>
    <col min="14579" max="14579" width="6.53125" style="1095" customWidth="1"/>
    <col min="14580" max="14580" width="5" style="1095" customWidth="1"/>
    <col min="14581" max="14581" width="6" style="1095" customWidth="1"/>
    <col min="14582" max="14582" width="6.53125" style="1095" customWidth="1"/>
    <col min="14583" max="14583" width="5" style="1095" customWidth="1"/>
    <col min="14584" max="14584" width="6.796875" style="1095" customWidth="1"/>
    <col min="14585" max="14825" width="9.19921875" style="1095"/>
    <col min="14826" max="14826" width="3.19921875" style="1095" customWidth="1"/>
    <col min="14827" max="14827" width="36" style="1095" customWidth="1"/>
    <col min="14828" max="14828" width="8.19921875" style="1095" customWidth="1"/>
    <col min="14829" max="14829" width="12.796875" style="1095" customWidth="1"/>
    <col min="14830" max="14830" width="5.796875" style="1095" customWidth="1"/>
    <col min="14831" max="14831" width="7.46484375" style="1095" customWidth="1"/>
    <col min="14832" max="14832" width="7.19921875" style="1095" customWidth="1"/>
    <col min="14833" max="14833" width="6.796875" style="1095" customWidth="1"/>
    <col min="14834" max="14834" width="6" style="1095" customWidth="1"/>
    <col min="14835" max="14835" width="6.53125" style="1095" customWidth="1"/>
    <col min="14836" max="14836" width="5" style="1095" customWidth="1"/>
    <col min="14837" max="14837" width="6" style="1095" customWidth="1"/>
    <col min="14838" max="14838" width="6.53125" style="1095" customWidth="1"/>
    <col min="14839" max="14839" width="5" style="1095" customWidth="1"/>
    <col min="14840" max="14840" width="6.796875" style="1095" customWidth="1"/>
    <col min="14841" max="15081" width="9.19921875" style="1095"/>
    <col min="15082" max="15082" width="3.19921875" style="1095" customWidth="1"/>
    <col min="15083" max="15083" width="36" style="1095" customWidth="1"/>
    <col min="15084" max="15084" width="8.19921875" style="1095" customWidth="1"/>
    <col min="15085" max="15085" width="12.796875" style="1095" customWidth="1"/>
    <col min="15086" max="15086" width="5.796875" style="1095" customWidth="1"/>
    <col min="15087" max="15087" width="7.46484375" style="1095" customWidth="1"/>
    <col min="15088" max="15088" width="7.19921875" style="1095" customWidth="1"/>
    <col min="15089" max="15089" width="6.796875" style="1095" customWidth="1"/>
    <col min="15090" max="15090" width="6" style="1095" customWidth="1"/>
    <col min="15091" max="15091" width="6.53125" style="1095" customWidth="1"/>
    <col min="15092" max="15092" width="5" style="1095" customWidth="1"/>
    <col min="15093" max="15093" width="6" style="1095" customWidth="1"/>
    <col min="15094" max="15094" width="6.53125" style="1095" customWidth="1"/>
    <col min="15095" max="15095" width="5" style="1095" customWidth="1"/>
    <col min="15096" max="15096" width="6.796875" style="1095" customWidth="1"/>
    <col min="15097" max="15337" width="9.19921875" style="1095"/>
    <col min="15338" max="15338" width="3.19921875" style="1095" customWidth="1"/>
    <col min="15339" max="15339" width="36" style="1095" customWidth="1"/>
    <col min="15340" max="15340" width="8.19921875" style="1095" customWidth="1"/>
    <col min="15341" max="15341" width="12.796875" style="1095" customWidth="1"/>
    <col min="15342" max="15342" width="5.796875" style="1095" customWidth="1"/>
    <col min="15343" max="15343" width="7.46484375" style="1095" customWidth="1"/>
    <col min="15344" max="15344" width="7.19921875" style="1095" customWidth="1"/>
    <col min="15345" max="15345" width="6.796875" style="1095" customWidth="1"/>
    <col min="15346" max="15346" width="6" style="1095" customWidth="1"/>
    <col min="15347" max="15347" width="6.53125" style="1095" customWidth="1"/>
    <col min="15348" max="15348" width="5" style="1095" customWidth="1"/>
    <col min="15349" max="15349" width="6" style="1095" customWidth="1"/>
    <col min="15350" max="15350" width="6.53125" style="1095" customWidth="1"/>
    <col min="15351" max="15351" width="5" style="1095" customWidth="1"/>
    <col min="15352" max="15352" width="6.796875" style="1095" customWidth="1"/>
    <col min="15353" max="15593" width="9.19921875" style="1095"/>
    <col min="15594" max="15594" width="3.19921875" style="1095" customWidth="1"/>
    <col min="15595" max="15595" width="36" style="1095" customWidth="1"/>
    <col min="15596" max="15596" width="8.19921875" style="1095" customWidth="1"/>
    <col min="15597" max="15597" width="12.796875" style="1095" customWidth="1"/>
    <col min="15598" max="15598" width="5.796875" style="1095" customWidth="1"/>
    <col min="15599" max="15599" width="7.46484375" style="1095" customWidth="1"/>
    <col min="15600" max="15600" width="7.19921875" style="1095" customWidth="1"/>
    <col min="15601" max="15601" width="6.796875" style="1095" customWidth="1"/>
    <col min="15602" max="15602" width="6" style="1095" customWidth="1"/>
    <col min="15603" max="15603" width="6.53125" style="1095" customWidth="1"/>
    <col min="15604" max="15604" width="5" style="1095" customWidth="1"/>
    <col min="15605" max="15605" width="6" style="1095" customWidth="1"/>
    <col min="15606" max="15606" width="6.53125" style="1095" customWidth="1"/>
    <col min="15607" max="15607" width="5" style="1095" customWidth="1"/>
    <col min="15608" max="15608" width="6.796875" style="1095" customWidth="1"/>
    <col min="15609" max="15849" width="9.19921875" style="1095"/>
    <col min="15850" max="15850" width="3.19921875" style="1095" customWidth="1"/>
    <col min="15851" max="15851" width="36" style="1095" customWidth="1"/>
    <col min="15852" max="15852" width="8.19921875" style="1095" customWidth="1"/>
    <col min="15853" max="15853" width="12.796875" style="1095" customWidth="1"/>
    <col min="15854" max="15854" width="5.796875" style="1095" customWidth="1"/>
    <col min="15855" max="15855" width="7.46484375" style="1095" customWidth="1"/>
    <col min="15856" max="15856" width="7.19921875" style="1095" customWidth="1"/>
    <col min="15857" max="15857" width="6.796875" style="1095" customWidth="1"/>
    <col min="15858" max="15858" width="6" style="1095" customWidth="1"/>
    <col min="15859" max="15859" width="6.53125" style="1095" customWidth="1"/>
    <col min="15860" max="15860" width="5" style="1095" customWidth="1"/>
    <col min="15861" max="15861" width="6" style="1095" customWidth="1"/>
    <col min="15862" max="15862" width="6.53125" style="1095" customWidth="1"/>
    <col min="15863" max="15863" width="5" style="1095" customWidth="1"/>
    <col min="15864" max="15864" width="6.796875" style="1095" customWidth="1"/>
    <col min="15865" max="16105" width="9.19921875" style="1095"/>
    <col min="16106" max="16106" width="3.19921875" style="1095" customWidth="1"/>
    <col min="16107" max="16107" width="36" style="1095" customWidth="1"/>
    <col min="16108" max="16108" width="8.19921875" style="1095" customWidth="1"/>
    <col min="16109" max="16109" width="12.796875" style="1095" customWidth="1"/>
    <col min="16110" max="16110" width="5.796875" style="1095" customWidth="1"/>
    <col min="16111" max="16111" width="7.46484375" style="1095" customWidth="1"/>
    <col min="16112" max="16112" width="7.19921875" style="1095" customWidth="1"/>
    <col min="16113" max="16113" width="6.796875" style="1095" customWidth="1"/>
    <col min="16114" max="16114" width="6" style="1095" customWidth="1"/>
    <col min="16115" max="16115" width="6.53125" style="1095" customWidth="1"/>
    <col min="16116" max="16116" width="5" style="1095" customWidth="1"/>
    <col min="16117" max="16117" width="6" style="1095" customWidth="1"/>
    <col min="16118" max="16118" width="6.53125" style="1095" customWidth="1"/>
    <col min="16119" max="16119" width="5" style="1095" customWidth="1"/>
    <col min="16120" max="16120" width="6.796875" style="1095" customWidth="1"/>
    <col min="16121" max="16380" width="9.19921875" style="1095"/>
    <col min="16381" max="16384" width="9.19921875" style="1095" customWidth="1"/>
  </cols>
  <sheetData>
    <row r="1" spans="1:16">
      <c r="A1" s="1753" t="s">
        <v>1799</v>
      </c>
      <c r="B1" s="1753"/>
    </row>
    <row r="2" spans="1:16">
      <c r="A2" s="1076" t="str">
        <f>+'BS1'!A2</f>
        <v>NIDP DEVELOPERS PRIVATE LIMITED</v>
      </c>
      <c r="B2" s="1096"/>
      <c r="C2" s="1096"/>
      <c r="D2" s="1096"/>
      <c r="E2" s="1096"/>
      <c r="F2" s="1096"/>
      <c r="G2" s="1096"/>
      <c r="H2" s="1096"/>
      <c r="I2" s="1096"/>
      <c r="J2" s="1096"/>
      <c r="K2" s="1096"/>
      <c r="L2" s="1096"/>
      <c r="M2" s="1096"/>
      <c r="N2" s="1096"/>
      <c r="O2" s="1096"/>
      <c r="P2" s="1096"/>
    </row>
    <row r="3" spans="1:16">
      <c r="A3" s="1097" t="s">
        <v>191</v>
      </c>
      <c r="B3" s="1097"/>
      <c r="C3" s="1097"/>
      <c r="D3" s="1097"/>
      <c r="E3" s="1097"/>
      <c r="F3" s="1097"/>
      <c r="G3" s="1097"/>
      <c r="H3" s="1097"/>
      <c r="I3" s="1097"/>
      <c r="J3" s="1097"/>
      <c r="K3" s="1097"/>
      <c r="L3" s="1097"/>
      <c r="M3" s="1097"/>
      <c r="N3" s="1097"/>
      <c r="O3" s="1097"/>
      <c r="P3" s="1097"/>
    </row>
    <row r="5" spans="1:16">
      <c r="A5" s="1754" t="s">
        <v>192</v>
      </c>
      <c r="B5" s="1754" t="s">
        <v>193</v>
      </c>
      <c r="C5" s="1755" t="s">
        <v>343</v>
      </c>
      <c r="D5" s="1756"/>
      <c r="E5" s="1756"/>
      <c r="F5" s="1756"/>
      <c r="G5" s="1756"/>
      <c r="H5" s="1756"/>
      <c r="I5" s="1756"/>
      <c r="J5" s="1756"/>
      <c r="K5" s="1756"/>
      <c r="L5" s="1756"/>
      <c r="M5" s="1756"/>
      <c r="N5" s="1756"/>
      <c r="O5" s="1756"/>
      <c r="P5" s="1756"/>
    </row>
    <row r="6" spans="1:16">
      <c r="A6" s="1754"/>
      <c r="B6" s="1754"/>
      <c r="C6" s="1757"/>
      <c r="D6" s="1758"/>
      <c r="E6" s="1758"/>
      <c r="F6" s="1758"/>
      <c r="G6" s="1758"/>
      <c r="H6" s="1758"/>
      <c r="I6" s="1758"/>
      <c r="J6" s="1758"/>
      <c r="K6" s="1758"/>
      <c r="L6" s="1758"/>
      <c r="M6" s="1758"/>
      <c r="N6" s="1758"/>
      <c r="O6" s="1758"/>
      <c r="P6" s="1758"/>
    </row>
    <row r="7" spans="1:16">
      <c r="A7" s="1754"/>
      <c r="B7" s="1754"/>
      <c r="C7" s="1759"/>
      <c r="D7" s="1760"/>
      <c r="E7" s="1760"/>
      <c r="F7" s="1760"/>
      <c r="G7" s="1760"/>
      <c r="H7" s="1760"/>
      <c r="I7" s="1760"/>
      <c r="J7" s="1760"/>
      <c r="K7" s="1760"/>
      <c r="L7" s="1760"/>
      <c r="M7" s="1760"/>
      <c r="N7" s="1760"/>
      <c r="O7" s="1760"/>
      <c r="P7" s="1760"/>
    </row>
    <row r="8" spans="1:16" ht="63">
      <c r="A8" s="1754"/>
      <c r="B8" s="1754"/>
      <c r="C8" s="1098" t="s">
        <v>194</v>
      </c>
      <c r="D8" s="1098" t="s">
        <v>1466</v>
      </c>
      <c r="E8" s="1098" t="s">
        <v>608</v>
      </c>
      <c r="F8" s="1098" t="s">
        <v>610</v>
      </c>
      <c r="G8" s="1098" t="s">
        <v>609</v>
      </c>
      <c r="H8" s="1098" t="s">
        <v>195</v>
      </c>
      <c r="I8" s="1098" t="s">
        <v>196</v>
      </c>
      <c r="J8" s="1098" t="s">
        <v>1445</v>
      </c>
      <c r="K8" s="1098" t="s">
        <v>612</v>
      </c>
      <c r="L8" s="1098" t="s">
        <v>611</v>
      </c>
      <c r="M8" s="1098" t="s">
        <v>1505</v>
      </c>
      <c r="N8" s="1098" t="s">
        <v>613</v>
      </c>
      <c r="O8" s="1098" t="s">
        <v>506</v>
      </c>
      <c r="P8" s="1098" t="s">
        <v>1446</v>
      </c>
    </row>
    <row r="9" spans="1:16">
      <c r="A9" s="1099"/>
      <c r="B9" s="1099"/>
      <c r="C9" s="1099"/>
      <c r="D9" s="1099"/>
      <c r="E9" s="1099"/>
      <c r="F9" s="1099"/>
      <c r="G9" s="1099"/>
      <c r="H9" s="1099"/>
      <c r="I9" s="1099"/>
      <c r="J9" s="1100"/>
      <c r="K9" s="1100"/>
      <c r="L9" s="1100"/>
      <c r="M9" s="1100"/>
      <c r="N9" s="1100"/>
      <c r="O9" s="1100"/>
      <c r="P9" s="1100"/>
    </row>
    <row r="10" spans="1:16">
      <c r="A10" s="1101" t="s">
        <v>32</v>
      </c>
      <c r="B10" s="1102" t="s">
        <v>1229</v>
      </c>
      <c r="C10" s="1099"/>
      <c r="D10" s="1099"/>
      <c r="E10" s="1099"/>
      <c r="F10" s="1099"/>
      <c r="G10" s="1099"/>
      <c r="H10" s="1099"/>
      <c r="I10" s="1099"/>
      <c r="J10" s="1100"/>
      <c r="K10" s="1100"/>
      <c r="L10" s="1100"/>
      <c r="M10" s="1100"/>
      <c r="N10" s="1100"/>
      <c r="O10" s="1100"/>
      <c r="P10" s="1100"/>
    </row>
    <row r="11" spans="1:16" hidden="1">
      <c r="A11" s="1101" t="s">
        <v>15</v>
      </c>
      <c r="B11" s="1103" t="s">
        <v>1288</v>
      </c>
      <c r="C11" s="1099"/>
      <c r="D11" s="1099"/>
      <c r="E11" s="1099"/>
      <c r="F11" s="1099"/>
      <c r="G11" s="1099"/>
      <c r="H11" s="1099"/>
      <c r="I11" s="1099"/>
      <c r="J11" s="1100"/>
      <c r="K11" s="1100"/>
      <c r="L11" s="1100"/>
      <c r="M11" s="1100"/>
      <c r="N11" s="1100"/>
      <c r="O11" s="1100"/>
      <c r="P11" s="1100"/>
    </row>
    <row r="12" spans="1:16" hidden="1">
      <c r="A12" s="1101"/>
      <c r="B12" s="1103"/>
      <c r="C12" s="1099"/>
      <c r="D12" s="1099"/>
      <c r="E12" s="1099"/>
      <c r="F12" s="1099"/>
      <c r="G12" s="1099"/>
      <c r="H12" s="1099"/>
      <c r="I12" s="1099"/>
      <c r="J12" s="1100"/>
      <c r="K12" s="1100"/>
      <c r="L12" s="1100"/>
      <c r="M12" s="1100"/>
      <c r="N12" s="1100"/>
      <c r="O12" s="1100"/>
      <c r="P12" s="1100"/>
    </row>
    <row r="13" spans="1:16" hidden="1">
      <c r="A13" s="1101" t="s">
        <v>16</v>
      </c>
      <c r="B13" s="1103" t="s">
        <v>1289</v>
      </c>
      <c r="C13" s="1099"/>
      <c r="D13" s="1099"/>
      <c r="E13" s="1099"/>
      <c r="F13" s="1099"/>
      <c r="G13" s="1099"/>
      <c r="H13" s="1099"/>
      <c r="I13" s="1099"/>
      <c r="J13" s="1100"/>
      <c r="K13" s="1100"/>
      <c r="L13" s="1100"/>
      <c r="M13" s="1100"/>
      <c r="N13" s="1100"/>
      <c r="O13" s="1100"/>
      <c r="P13" s="1100"/>
    </row>
    <row r="14" spans="1:16" hidden="1">
      <c r="A14" s="1101">
        <v>1</v>
      </c>
      <c r="B14" s="1104" t="s">
        <v>1501</v>
      </c>
      <c r="C14" s="1099"/>
      <c r="D14" s="1099"/>
      <c r="E14" s="1099"/>
      <c r="F14" s="1099"/>
      <c r="G14" s="1099"/>
      <c r="H14" s="1099"/>
      <c r="I14" s="1099"/>
      <c r="J14" s="1100"/>
      <c r="K14" s="1100"/>
      <c r="L14" s="1100"/>
      <c r="M14" s="1100"/>
      <c r="N14" s="1100"/>
      <c r="O14" s="1100"/>
      <c r="P14" s="1100"/>
    </row>
    <row r="15" spans="1:16" hidden="1">
      <c r="A15" s="1101">
        <v>2</v>
      </c>
      <c r="B15" s="1105" t="s">
        <v>1502</v>
      </c>
      <c r="C15" s="1099"/>
      <c r="D15" s="1099"/>
      <c r="E15" s="1099"/>
      <c r="F15" s="1099"/>
      <c r="G15" s="1099"/>
      <c r="H15" s="1099"/>
      <c r="I15" s="1099"/>
      <c r="J15" s="1100"/>
      <c r="K15" s="1100"/>
      <c r="L15" s="1100"/>
      <c r="M15" s="1100"/>
      <c r="N15" s="1100"/>
      <c r="O15" s="1100"/>
      <c r="P15" s="1100"/>
    </row>
    <row r="16" spans="1:16" hidden="1">
      <c r="A16" s="1101">
        <v>3</v>
      </c>
      <c r="B16" s="1105" t="s">
        <v>1915</v>
      </c>
      <c r="C16" s="1099"/>
      <c r="D16" s="1099"/>
      <c r="E16" s="1099"/>
      <c r="F16" s="1099"/>
      <c r="G16" s="1099"/>
      <c r="H16" s="1099"/>
      <c r="I16" s="1099"/>
      <c r="J16" s="1100"/>
      <c r="K16" s="1100"/>
      <c r="L16" s="1100"/>
      <c r="M16" s="1100"/>
      <c r="N16" s="1100"/>
      <c r="O16" s="1100"/>
      <c r="P16" s="1100"/>
    </row>
    <row r="17" spans="1:16" hidden="1">
      <c r="A17" s="1101">
        <v>4</v>
      </c>
      <c r="B17" s="1105" t="s">
        <v>1916</v>
      </c>
      <c r="C17" s="1099"/>
      <c r="D17" s="1099"/>
      <c r="E17" s="1099"/>
      <c r="F17" s="1099"/>
      <c r="G17" s="1099"/>
      <c r="H17" s="1099"/>
      <c r="I17" s="1099"/>
      <c r="J17" s="1100"/>
      <c r="K17" s="1100"/>
      <c r="L17" s="1100"/>
      <c r="M17" s="1100"/>
      <c r="N17" s="1100"/>
      <c r="O17" s="1100"/>
      <c r="P17" s="1100"/>
    </row>
    <row r="18" spans="1:16" hidden="1">
      <c r="A18" s="1101">
        <v>5</v>
      </c>
      <c r="B18" s="1105" t="s">
        <v>1917</v>
      </c>
      <c r="C18" s="1099"/>
      <c r="D18" s="1099"/>
      <c r="E18" s="1099"/>
      <c r="F18" s="1099"/>
      <c r="G18" s="1099"/>
      <c r="H18" s="1099"/>
      <c r="I18" s="1099"/>
      <c r="J18" s="1100"/>
      <c r="K18" s="1100"/>
      <c r="L18" s="1100"/>
      <c r="M18" s="1100"/>
      <c r="N18" s="1100"/>
      <c r="O18" s="1100"/>
      <c r="P18" s="1100"/>
    </row>
    <row r="19" spans="1:16" hidden="1">
      <c r="A19" s="1101">
        <v>6</v>
      </c>
      <c r="B19" s="1105" t="s">
        <v>1918</v>
      </c>
      <c r="C19" s="1099"/>
      <c r="D19" s="1099"/>
      <c r="E19" s="1099"/>
      <c r="F19" s="1099"/>
      <c r="G19" s="1099"/>
      <c r="H19" s="1099"/>
      <c r="I19" s="1099"/>
      <c r="J19" s="1100"/>
      <c r="K19" s="1100"/>
      <c r="L19" s="1100"/>
      <c r="M19" s="1100"/>
      <c r="N19" s="1100"/>
      <c r="O19" s="1100"/>
      <c r="P19" s="1100"/>
    </row>
    <row r="20" spans="1:16" hidden="1">
      <c r="A20" s="1101">
        <v>7</v>
      </c>
      <c r="B20" s="1105" t="s">
        <v>1919</v>
      </c>
      <c r="C20" s="1099"/>
      <c r="D20" s="1099"/>
      <c r="E20" s="1099"/>
      <c r="F20" s="1099"/>
      <c r="G20" s="1099"/>
      <c r="H20" s="1099"/>
      <c r="I20" s="1099"/>
      <c r="J20" s="1100"/>
      <c r="K20" s="1100"/>
      <c r="L20" s="1100"/>
      <c r="M20" s="1100"/>
      <c r="N20" s="1100"/>
      <c r="O20" s="1100"/>
      <c r="P20" s="1100"/>
    </row>
    <row r="21" spans="1:16" hidden="1">
      <c r="A21" s="1101">
        <v>8</v>
      </c>
      <c r="B21" s="1105" t="s">
        <v>1920</v>
      </c>
      <c r="C21" s="1099"/>
      <c r="D21" s="1099"/>
      <c r="E21" s="1099"/>
      <c r="F21" s="1099"/>
      <c r="G21" s="1099"/>
      <c r="H21" s="1099"/>
      <c r="I21" s="1099"/>
      <c r="J21" s="1100"/>
      <c r="K21" s="1100"/>
      <c r="L21" s="1100"/>
      <c r="M21" s="1100"/>
      <c r="N21" s="1100"/>
      <c r="O21" s="1100"/>
      <c r="P21" s="1100"/>
    </row>
    <row r="22" spans="1:16" hidden="1">
      <c r="A22" s="1101">
        <v>9</v>
      </c>
      <c r="B22" s="1105" t="s">
        <v>1921</v>
      </c>
      <c r="C22" s="1099"/>
      <c r="D22" s="1099"/>
      <c r="E22" s="1099"/>
      <c r="F22" s="1099"/>
      <c r="G22" s="1099"/>
      <c r="H22" s="1099"/>
      <c r="I22" s="1099"/>
      <c r="J22" s="1100"/>
      <c r="K22" s="1100"/>
      <c r="L22" s="1100"/>
      <c r="M22" s="1100"/>
      <c r="N22" s="1100"/>
      <c r="O22" s="1100"/>
      <c r="P22" s="1100"/>
    </row>
    <row r="23" spans="1:16" hidden="1">
      <c r="A23" s="1101">
        <v>10</v>
      </c>
      <c r="B23" s="1105" t="s">
        <v>1922</v>
      </c>
      <c r="C23" s="1099"/>
      <c r="D23" s="1099"/>
      <c r="E23" s="1099"/>
      <c r="F23" s="1099"/>
      <c r="G23" s="1099"/>
      <c r="H23" s="1099"/>
      <c r="I23" s="1099"/>
      <c r="J23" s="1100"/>
      <c r="K23" s="1100"/>
      <c r="L23" s="1100"/>
      <c r="M23" s="1100"/>
      <c r="N23" s="1100"/>
      <c r="O23" s="1100"/>
      <c r="P23" s="1100"/>
    </row>
    <row r="24" spans="1:16" hidden="1">
      <c r="A24" s="1101">
        <v>11</v>
      </c>
      <c r="B24" s="1105" t="s">
        <v>1923</v>
      </c>
      <c r="C24" s="1099"/>
      <c r="D24" s="1099"/>
      <c r="E24" s="1099"/>
      <c r="F24" s="1099"/>
      <c r="G24" s="1099"/>
      <c r="H24" s="1099"/>
      <c r="I24" s="1099"/>
      <c r="J24" s="1100"/>
      <c r="K24" s="1100"/>
      <c r="L24" s="1100"/>
      <c r="M24" s="1100"/>
      <c r="N24" s="1100"/>
      <c r="O24" s="1100"/>
      <c r="P24" s="1100"/>
    </row>
    <row r="25" spans="1:16" hidden="1">
      <c r="A25" s="1101">
        <v>12</v>
      </c>
      <c r="B25" s="1105" t="s">
        <v>1924</v>
      </c>
      <c r="C25" s="1099"/>
      <c r="D25" s="1099"/>
      <c r="E25" s="1099"/>
      <c r="F25" s="1099"/>
      <c r="G25" s="1099"/>
      <c r="H25" s="1099"/>
      <c r="I25" s="1099"/>
      <c r="J25" s="1100"/>
      <c r="K25" s="1100"/>
      <c r="L25" s="1100"/>
      <c r="M25" s="1100"/>
      <c r="N25" s="1100"/>
      <c r="O25" s="1100"/>
      <c r="P25" s="1100"/>
    </row>
    <row r="26" spans="1:16" hidden="1">
      <c r="A26" s="1101">
        <v>13</v>
      </c>
      <c r="B26" s="1105" t="s">
        <v>1925</v>
      </c>
      <c r="C26" s="1099"/>
      <c r="D26" s="1099"/>
      <c r="E26" s="1099"/>
      <c r="F26" s="1099"/>
      <c r="G26" s="1099"/>
      <c r="H26" s="1099"/>
      <c r="I26" s="1099"/>
      <c r="J26" s="1100"/>
      <c r="K26" s="1100"/>
      <c r="L26" s="1100"/>
      <c r="M26" s="1100"/>
      <c r="N26" s="1100"/>
      <c r="O26" s="1100"/>
      <c r="P26" s="1100"/>
    </row>
    <row r="27" spans="1:16" hidden="1">
      <c r="A27" s="1101">
        <v>14</v>
      </c>
      <c r="B27" s="1105" t="s">
        <v>1926</v>
      </c>
      <c r="C27" s="1099"/>
      <c r="D27" s="1099"/>
      <c r="E27" s="1099"/>
      <c r="F27" s="1099"/>
      <c r="G27" s="1099"/>
      <c r="H27" s="1099"/>
      <c r="I27" s="1099"/>
      <c r="J27" s="1100"/>
      <c r="K27" s="1100"/>
      <c r="L27" s="1100"/>
      <c r="M27" s="1100"/>
      <c r="N27" s="1100"/>
      <c r="O27" s="1100"/>
      <c r="P27" s="1100"/>
    </row>
    <row r="28" spans="1:16" hidden="1">
      <c r="A28" s="1106"/>
      <c r="B28" s="1107" t="s">
        <v>153</v>
      </c>
      <c r="C28" s="1099"/>
      <c r="D28" s="1099"/>
      <c r="E28" s="1099"/>
      <c r="F28" s="1099"/>
      <c r="G28" s="1099"/>
      <c r="H28" s="1099"/>
      <c r="I28" s="1099"/>
      <c r="J28" s="1100"/>
      <c r="K28" s="1100"/>
      <c r="L28" s="1100"/>
      <c r="M28" s="1100"/>
      <c r="N28" s="1100"/>
      <c r="O28" s="1100"/>
      <c r="P28" s="1100"/>
    </row>
    <row r="29" spans="1:16" hidden="1">
      <c r="A29" s="1101"/>
      <c r="B29" s="1105"/>
      <c r="C29" s="1099"/>
      <c r="D29" s="1099"/>
      <c r="E29" s="1099"/>
      <c r="F29" s="1099"/>
      <c r="G29" s="1099"/>
      <c r="H29" s="1099"/>
      <c r="I29" s="1099"/>
      <c r="J29" s="1100"/>
      <c r="K29" s="1100"/>
      <c r="L29" s="1100"/>
      <c r="M29" s="1100"/>
      <c r="N29" s="1100"/>
      <c r="O29" s="1100"/>
      <c r="P29" s="1100"/>
    </row>
    <row r="30" spans="1:16" hidden="1">
      <c r="A30" s="1101" t="s">
        <v>17</v>
      </c>
      <c r="B30" s="1105" t="s">
        <v>1301</v>
      </c>
      <c r="C30" s="1099"/>
      <c r="D30" s="1099"/>
      <c r="E30" s="1099"/>
      <c r="F30" s="1099"/>
      <c r="G30" s="1099"/>
      <c r="H30" s="1099"/>
      <c r="I30" s="1099"/>
      <c r="J30" s="1100"/>
      <c r="K30" s="1100"/>
      <c r="L30" s="1100"/>
      <c r="M30" s="1100"/>
      <c r="N30" s="1100"/>
      <c r="O30" s="1100"/>
      <c r="P30" s="1100"/>
    </row>
    <row r="31" spans="1:16" hidden="1">
      <c r="A31" s="1101">
        <v>1</v>
      </c>
      <c r="B31" s="1105" t="s">
        <v>1301</v>
      </c>
      <c r="C31" s="1099"/>
      <c r="D31" s="1099"/>
      <c r="E31" s="1099"/>
      <c r="F31" s="1099"/>
      <c r="G31" s="1099"/>
      <c r="H31" s="1099"/>
      <c r="I31" s="1099"/>
      <c r="J31" s="1100"/>
      <c r="K31" s="1100"/>
      <c r="L31" s="1100"/>
      <c r="M31" s="1100"/>
      <c r="N31" s="1100"/>
      <c r="O31" s="1100"/>
      <c r="P31" s="1100"/>
    </row>
    <row r="32" spans="1:16" hidden="1">
      <c r="A32" s="1101">
        <v>2</v>
      </c>
      <c r="B32" s="1105" t="s">
        <v>1927</v>
      </c>
      <c r="C32" s="1099"/>
      <c r="D32" s="1099"/>
      <c r="E32" s="1099"/>
      <c r="F32" s="1099"/>
      <c r="G32" s="1099"/>
      <c r="H32" s="1099"/>
      <c r="I32" s="1099"/>
      <c r="J32" s="1100"/>
      <c r="K32" s="1100"/>
      <c r="L32" s="1100"/>
      <c r="M32" s="1100"/>
      <c r="N32" s="1100"/>
      <c r="O32" s="1100"/>
      <c r="P32" s="1100"/>
    </row>
    <row r="33" spans="1:16" hidden="1">
      <c r="A33" s="1101">
        <v>3</v>
      </c>
      <c r="B33" s="1105" t="s">
        <v>1928</v>
      </c>
      <c r="C33" s="1099"/>
      <c r="D33" s="1099"/>
      <c r="E33" s="1099"/>
      <c r="F33" s="1099"/>
      <c r="G33" s="1099"/>
      <c r="H33" s="1099"/>
      <c r="I33" s="1099"/>
      <c r="J33" s="1100"/>
      <c r="K33" s="1100"/>
      <c r="L33" s="1100"/>
      <c r="M33" s="1100"/>
      <c r="N33" s="1100"/>
      <c r="O33" s="1100"/>
      <c r="P33" s="1100"/>
    </row>
    <row r="34" spans="1:16" hidden="1">
      <c r="A34" s="1101">
        <v>4</v>
      </c>
      <c r="B34" s="1105" t="s">
        <v>1929</v>
      </c>
      <c r="C34" s="1099"/>
      <c r="D34" s="1099"/>
      <c r="E34" s="1099"/>
      <c r="F34" s="1099"/>
      <c r="G34" s="1099"/>
      <c r="H34" s="1099"/>
      <c r="I34" s="1099"/>
      <c r="J34" s="1100"/>
      <c r="K34" s="1100"/>
      <c r="L34" s="1100"/>
      <c r="M34" s="1100"/>
      <c r="N34" s="1100"/>
      <c r="O34" s="1100"/>
      <c r="P34" s="1100"/>
    </row>
    <row r="35" spans="1:16" hidden="1">
      <c r="A35" s="1101">
        <v>5</v>
      </c>
      <c r="B35" s="1105" t="s">
        <v>1930</v>
      </c>
      <c r="C35" s="1108"/>
      <c r="D35" s="1108"/>
      <c r="E35" s="1108"/>
      <c r="F35" s="1108"/>
      <c r="G35" s="1108"/>
      <c r="H35" s="1108"/>
      <c r="I35" s="1108"/>
      <c r="J35" s="1100"/>
      <c r="K35" s="1100"/>
      <c r="L35" s="1100"/>
      <c r="M35" s="1100"/>
      <c r="N35" s="1100"/>
      <c r="O35" s="1100"/>
      <c r="P35" s="1100"/>
    </row>
    <row r="36" spans="1:16" hidden="1">
      <c r="A36" s="1101">
        <v>6</v>
      </c>
      <c r="B36" s="1105" t="s">
        <v>1306</v>
      </c>
      <c r="C36" s="1099"/>
      <c r="D36" s="1099"/>
      <c r="E36" s="1099"/>
      <c r="F36" s="1099"/>
      <c r="G36" s="1099"/>
      <c r="H36" s="1099"/>
      <c r="I36" s="1099"/>
      <c r="J36" s="1100"/>
      <c r="K36" s="1100"/>
      <c r="L36" s="1100"/>
      <c r="M36" s="1100"/>
      <c r="N36" s="1100"/>
      <c r="O36" s="1100"/>
      <c r="P36" s="1100"/>
    </row>
    <row r="37" spans="1:16" hidden="1">
      <c r="A37" s="1101">
        <v>7</v>
      </c>
      <c r="B37" s="1105" t="s">
        <v>1931</v>
      </c>
      <c r="C37" s="1099"/>
      <c r="D37" s="1099"/>
      <c r="E37" s="1099"/>
      <c r="F37" s="1099"/>
      <c r="G37" s="1099"/>
      <c r="H37" s="1099"/>
      <c r="I37" s="1099"/>
      <c r="J37" s="1100"/>
      <c r="K37" s="1100"/>
      <c r="L37" s="1100"/>
      <c r="M37" s="1100"/>
      <c r="N37" s="1100"/>
      <c r="O37" s="1100"/>
      <c r="P37" s="1100"/>
    </row>
    <row r="38" spans="1:16" hidden="1">
      <c r="A38" s="1101">
        <v>8</v>
      </c>
      <c r="B38" s="1105" t="s">
        <v>1932</v>
      </c>
      <c r="C38" s="1099"/>
      <c r="D38" s="1099"/>
      <c r="E38" s="1099"/>
      <c r="F38" s="1099"/>
      <c r="G38" s="1099"/>
      <c r="H38" s="1099"/>
      <c r="I38" s="1099"/>
      <c r="J38" s="1100"/>
      <c r="K38" s="1100"/>
      <c r="L38" s="1100"/>
      <c r="M38" s="1100"/>
      <c r="N38" s="1100"/>
      <c r="O38" s="1100"/>
      <c r="P38" s="1100"/>
    </row>
    <row r="39" spans="1:16" hidden="1">
      <c r="A39" s="1101"/>
      <c r="B39" s="1109" t="s">
        <v>1933</v>
      </c>
      <c r="C39" s="1099"/>
      <c r="D39" s="1099"/>
      <c r="E39" s="1099"/>
      <c r="F39" s="1099"/>
      <c r="G39" s="1099"/>
      <c r="H39" s="1099"/>
      <c r="I39" s="1099"/>
      <c r="J39" s="1100"/>
      <c r="K39" s="1100"/>
      <c r="L39" s="1100"/>
      <c r="M39" s="1100"/>
      <c r="N39" s="1100"/>
      <c r="O39" s="1100"/>
      <c r="P39" s="1100"/>
    </row>
    <row r="40" spans="1:16" hidden="1">
      <c r="A40" s="1101"/>
      <c r="B40" s="1107" t="s">
        <v>153</v>
      </c>
      <c r="C40" s="1099"/>
      <c r="D40" s="1099"/>
      <c r="E40" s="1099"/>
      <c r="F40" s="1099"/>
      <c r="G40" s="1099"/>
      <c r="H40" s="1099"/>
      <c r="I40" s="1099"/>
      <c r="J40" s="1100"/>
      <c r="K40" s="1100"/>
      <c r="L40" s="1100"/>
      <c r="M40" s="1100"/>
      <c r="N40" s="1100"/>
      <c r="O40" s="1100"/>
      <c r="P40" s="1100"/>
    </row>
    <row r="41" spans="1:16" hidden="1">
      <c r="A41" s="1101"/>
      <c r="B41" s="1105"/>
      <c r="C41" s="1099"/>
      <c r="D41" s="1099"/>
      <c r="E41" s="1099"/>
      <c r="F41" s="1099"/>
      <c r="G41" s="1099"/>
      <c r="H41" s="1099"/>
      <c r="I41" s="1099"/>
      <c r="J41" s="1100"/>
      <c r="K41" s="1100"/>
      <c r="L41" s="1100"/>
      <c r="M41" s="1100"/>
      <c r="N41" s="1100"/>
      <c r="O41" s="1100"/>
      <c r="P41" s="1100"/>
    </row>
    <row r="42" spans="1:16" hidden="1">
      <c r="A42" s="1101"/>
      <c r="B42" s="1105"/>
      <c r="C42" s="1099"/>
      <c r="D42" s="1099"/>
      <c r="E42" s="1099"/>
      <c r="F42" s="1099"/>
      <c r="G42" s="1099"/>
      <c r="H42" s="1099"/>
      <c r="I42" s="1099"/>
      <c r="J42" s="1100"/>
      <c r="K42" s="1100"/>
      <c r="L42" s="1100"/>
      <c r="M42" s="1100"/>
      <c r="N42" s="1100"/>
      <c r="O42" s="1100"/>
      <c r="P42" s="1100"/>
    </row>
    <row r="43" spans="1:16" hidden="1">
      <c r="A43" s="1101" t="s">
        <v>20</v>
      </c>
      <c r="B43" s="1105" t="s">
        <v>1307</v>
      </c>
      <c r="C43" s="1099"/>
      <c r="D43" s="1099"/>
      <c r="E43" s="1099"/>
      <c r="F43" s="1099"/>
      <c r="G43" s="1099"/>
      <c r="H43" s="1099"/>
      <c r="I43" s="1099"/>
      <c r="J43" s="1100"/>
      <c r="K43" s="1100"/>
      <c r="L43" s="1100"/>
      <c r="M43" s="1100"/>
      <c r="N43" s="1100"/>
      <c r="O43" s="1100"/>
      <c r="P43" s="1100"/>
    </row>
    <row r="44" spans="1:16" hidden="1">
      <c r="A44" s="1101" t="s">
        <v>15</v>
      </c>
      <c r="B44" s="1105" t="s">
        <v>1308</v>
      </c>
      <c r="C44" s="1099"/>
      <c r="D44" s="1099"/>
      <c r="E44" s="1099"/>
      <c r="F44" s="1099"/>
      <c r="G44" s="1099"/>
      <c r="H44" s="1099"/>
      <c r="I44" s="1099"/>
      <c r="J44" s="1100"/>
      <c r="K44" s="1100"/>
      <c r="L44" s="1100"/>
      <c r="M44" s="1100"/>
      <c r="N44" s="1100"/>
      <c r="O44" s="1100"/>
      <c r="P44" s="1100"/>
    </row>
    <row r="45" spans="1:16" hidden="1">
      <c r="A45" s="1101">
        <v>1</v>
      </c>
      <c r="B45" s="1105" t="s">
        <v>1308</v>
      </c>
      <c r="C45" s="1099"/>
      <c r="D45" s="1099"/>
      <c r="E45" s="1099"/>
      <c r="F45" s="1099"/>
      <c r="G45" s="1099"/>
      <c r="H45" s="1099"/>
      <c r="I45" s="1099"/>
      <c r="J45" s="1100"/>
      <c r="K45" s="1100"/>
      <c r="L45" s="1100"/>
      <c r="M45" s="1100"/>
      <c r="N45" s="1100"/>
      <c r="O45" s="1100"/>
      <c r="P45" s="1100"/>
    </row>
    <row r="46" spans="1:16" hidden="1">
      <c r="A46" s="1101">
        <v>2</v>
      </c>
      <c r="B46" s="1105" t="s">
        <v>1934</v>
      </c>
      <c r="C46" s="1099"/>
      <c r="D46" s="1099"/>
      <c r="E46" s="1099"/>
      <c r="F46" s="1099"/>
      <c r="G46" s="1099"/>
      <c r="H46" s="1099"/>
      <c r="I46" s="1099"/>
      <c r="J46" s="1100"/>
      <c r="K46" s="1100"/>
      <c r="L46" s="1100"/>
      <c r="M46" s="1100"/>
      <c r="N46" s="1100"/>
      <c r="O46" s="1100"/>
      <c r="P46" s="1100"/>
    </row>
    <row r="47" spans="1:16" hidden="1">
      <c r="A47" s="1101">
        <v>3</v>
      </c>
      <c r="B47" s="1105" t="s">
        <v>1935</v>
      </c>
      <c r="C47" s="1099"/>
      <c r="D47" s="1099"/>
      <c r="E47" s="1099"/>
      <c r="F47" s="1099"/>
      <c r="G47" s="1099"/>
      <c r="H47" s="1099"/>
      <c r="I47" s="1099"/>
      <c r="J47" s="1100"/>
      <c r="K47" s="1100"/>
      <c r="L47" s="1100"/>
      <c r="M47" s="1100"/>
      <c r="N47" s="1100"/>
      <c r="O47" s="1100"/>
      <c r="P47" s="1100"/>
    </row>
    <row r="48" spans="1:16" hidden="1">
      <c r="A48" s="1101">
        <v>4</v>
      </c>
      <c r="B48" s="1105" t="s">
        <v>1936</v>
      </c>
      <c r="C48" s="1099"/>
      <c r="D48" s="1099"/>
      <c r="E48" s="1099"/>
      <c r="F48" s="1099"/>
      <c r="G48" s="1099"/>
      <c r="H48" s="1099"/>
      <c r="I48" s="1099"/>
      <c r="J48" s="1100"/>
      <c r="K48" s="1100"/>
      <c r="L48" s="1100"/>
      <c r="M48" s="1100"/>
      <c r="N48" s="1100"/>
      <c r="O48" s="1100"/>
      <c r="P48" s="1100"/>
    </row>
    <row r="49" spans="1:16" hidden="1">
      <c r="A49" s="1101">
        <v>5</v>
      </c>
      <c r="B49" s="1105" t="s">
        <v>1937</v>
      </c>
      <c r="C49" s="1099"/>
      <c r="D49" s="1099"/>
      <c r="E49" s="1099"/>
      <c r="F49" s="1099"/>
      <c r="G49" s="1099"/>
      <c r="H49" s="1099"/>
      <c r="I49" s="1099"/>
      <c r="J49" s="1100"/>
      <c r="K49" s="1100"/>
      <c r="L49" s="1100"/>
      <c r="M49" s="1100"/>
      <c r="N49" s="1100"/>
      <c r="O49" s="1100"/>
      <c r="P49" s="1100"/>
    </row>
    <row r="50" spans="1:16" hidden="1">
      <c r="A50" s="1101">
        <v>6</v>
      </c>
      <c r="B50" s="1105" t="s">
        <v>1938</v>
      </c>
      <c r="C50" s="1099"/>
      <c r="D50" s="1099"/>
      <c r="E50" s="1099"/>
      <c r="F50" s="1099"/>
      <c r="G50" s="1099"/>
      <c r="H50" s="1099"/>
      <c r="I50" s="1099"/>
      <c r="J50" s="1100"/>
      <c r="K50" s="1100"/>
      <c r="L50" s="1100"/>
      <c r="M50" s="1100"/>
      <c r="N50" s="1100"/>
      <c r="O50" s="1100"/>
      <c r="P50" s="1100"/>
    </row>
    <row r="51" spans="1:16" hidden="1">
      <c r="A51" s="1101">
        <v>7</v>
      </c>
      <c r="B51" s="1105" t="s">
        <v>1939</v>
      </c>
      <c r="C51" s="1099"/>
      <c r="D51" s="1099"/>
      <c r="E51" s="1099"/>
      <c r="F51" s="1099"/>
      <c r="G51" s="1099"/>
      <c r="H51" s="1099"/>
      <c r="I51" s="1099"/>
      <c r="J51" s="1100"/>
      <c r="K51" s="1100"/>
      <c r="L51" s="1100"/>
      <c r="M51" s="1100"/>
      <c r="N51" s="1100"/>
      <c r="O51" s="1100"/>
      <c r="P51" s="1100"/>
    </row>
    <row r="52" spans="1:16" hidden="1">
      <c r="A52" s="1101">
        <v>8</v>
      </c>
      <c r="B52" s="1105" t="s">
        <v>1940</v>
      </c>
      <c r="C52" s="1099"/>
      <c r="D52" s="1099"/>
      <c r="E52" s="1099"/>
      <c r="F52" s="1099"/>
      <c r="G52" s="1099"/>
      <c r="H52" s="1099"/>
      <c r="I52" s="1099"/>
      <c r="J52" s="1100"/>
      <c r="K52" s="1100"/>
      <c r="L52" s="1100"/>
      <c r="M52" s="1100"/>
      <c r="N52" s="1100"/>
      <c r="O52" s="1100"/>
      <c r="P52" s="1100"/>
    </row>
    <row r="53" spans="1:16" hidden="1">
      <c r="A53" s="1101">
        <v>9</v>
      </c>
      <c r="B53" s="1105" t="s">
        <v>1941</v>
      </c>
      <c r="C53" s="1099"/>
      <c r="D53" s="1099"/>
      <c r="E53" s="1099"/>
      <c r="F53" s="1099"/>
      <c r="G53" s="1099"/>
      <c r="H53" s="1099"/>
      <c r="I53" s="1099"/>
      <c r="J53" s="1100"/>
      <c r="K53" s="1100"/>
      <c r="L53" s="1100"/>
      <c r="M53" s="1100"/>
      <c r="N53" s="1100"/>
      <c r="O53" s="1100"/>
      <c r="P53" s="1100"/>
    </row>
    <row r="54" spans="1:16" hidden="1">
      <c r="A54" s="1101">
        <v>10</v>
      </c>
      <c r="B54" s="1105" t="s">
        <v>1942</v>
      </c>
      <c r="C54" s="1099"/>
      <c r="D54" s="1099"/>
      <c r="E54" s="1099"/>
      <c r="F54" s="1099"/>
      <c r="G54" s="1099"/>
      <c r="H54" s="1099"/>
      <c r="I54" s="1099"/>
      <c r="J54" s="1100"/>
      <c r="K54" s="1100"/>
      <c r="L54" s="1100"/>
      <c r="M54" s="1100"/>
      <c r="N54" s="1100"/>
      <c r="O54" s="1100"/>
      <c r="P54" s="1100"/>
    </row>
    <row r="55" spans="1:16" hidden="1">
      <c r="A55" s="1101">
        <v>11</v>
      </c>
      <c r="B55" s="1105" t="s">
        <v>1943</v>
      </c>
      <c r="C55" s="1099"/>
      <c r="D55" s="1099"/>
      <c r="E55" s="1099"/>
      <c r="F55" s="1099"/>
      <c r="G55" s="1099"/>
      <c r="H55" s="1099"/>
      <c r="I55" s="1099"/>
      <c r="J55" s="1100"/>
      <c r="K55" s="1100"/>
      <c r="L55" s="1100"/>
      <c r="M55" s="1100"/>
      <c r="N55" s="1100"/>
      <c r="O55" s="1100"/>
      <c r="P55" s="1100"/>
    </row>
    <row r="56" spans="1:16" hidden="1">
      <c r="A56" s="1101">
        <v>12</v>
      </c>
      <c r="B56" s="1105" t="s">
        <v>1944</v>
      </c>
      <c r="C56" s="1099"/>
      <c r="D56" s="1099"/>
      <c r="E56" s="1099"/>
      <c r="F56" s="1099"/>
      <c r="G56" s="1099"/>
      <c r="H56" s="1099"/>
      <c r="I56" s="1099"/>
      <c r="J56" s="1100"/>
      <c r="K56" s="1100"/>
      <c r="L56" s="1100"/>
      <c r="M56" s="1100"/>
      <c r="N56" s="1100"/>
      <c r="O56" s="1100"/>
      <c r="P56" s="1100"/>
    </row>
    <row r="57" spans="1:16" hidden="1">
      <c r="A57" s="1101">
        <v>13</v>
      </c>
      <c r="B57" s="1105" t="s">
        <v>1945</v>
      </c>
      <c r="C57" s="1099"/>
      <c r="D57" s="1099"/>
      <c r="E57" s="1099"/>
      <c r="F57" s="1099"/>
      <c r="G57" s="1099"/>
      <c r="H57" s="1099"/>
      <c r="I57" s="1099"/>
      <c r="J57" s="1100"/>
      <c r="K57" s="1100"/>
      <c r="L57" s="1100"/>
      <c r="M57" s="1100"/>
      <c r="N57" s="1100"/>
      <c r="O57" s="1100"/>
      <c r="P57" s="1100"/>
    </row>
    <row r="58" spans="1:16" hidden="1">
      <c r="A58" s="1101">
        <v>14</v>
      </c>
      <c r="B58" s="1105" t="s">
        <v>1946</v>
      </c>
      <c r="C58" s="1099"/>
      <c r="D58" s="1099"/>
      <c r="E58" s="1099"/>
      <c r="F58" s="1099"/>
      <c r="G58" s="1099"/>
      <c r="H58" s="1099"/>
      <c r="I58" s="1099"/>
      <c r="J58" s="1100"/>
      <c r="K58" s="1100"/>
      <c r="L58" s="1100"/>
      <c r="M58" s="1100"/>
      <c r="N58" s="1100"/>
      <c r="O58" s="1100"/>
      <c r="P58" s="1100"/>
    </row>
    <row r="59" spans="1:16" hidden="1">
      <c r="A59" s="1101">
        <v>15</v>
      </c>
      <c r="B59" s="1105" t="s">
        <v>1947</v>
      </c>
      <c r="C59" s="1099"/>
      <c r="D59" s="1099"/>
      <c r="E59" s="1099"/>
      <c r="F59" s="1099"/>
      <c r="G59" s="1099"/>
      <c r="H59" s="1099"/>
      <c r="I59" s="1099"/>
      <c r="J59" s="1100"/>
      <c r="K59" s="1100"/>
      <c r="L59" s="1100"/>
      <c r="M59" s="1100"/>
      <c r="N59" s="1100"/>
      <c r="O59" s="1100"/>
      <c r="P59" s="1100"/>
    </row>
    <row r="60" spans="1:16" hidden="1">
      <c r="A60" s="1101">
        <v>16</v>
      </c>
      <c r="B60" s="1105" t="s">
        <v>1948</v>
      </c>
      <c r="C60" s="1099"/>
      <c r="D60" s="1099"/>
      <c r="E60" s="1099"/>
      <c r="F60" s="1099"/>
      <c r="G60" s="1099"/>
      <c r="H60" s="1099"/>
      <c r="I60" s="1099"/>
      <c r="J60" s="1100"/>
      <c r="K60" s="1100"/>
      <c r="L60" s="1100"/>
      <c r="M60" s="1100"/>
      <c r="N60" s="1100"/>
      <c r="O60" s="1100"/>
      <c r="P60" s="1100"/>
    </row>
    <row r="61" spans="1:16" hidden="1">
      <c r="A61" s="1101">
        <v>17</v>
      </c>
      <c r="B61" s="1105" t="s">
        <v>1949</v>
      </c>
      <c r="C61" s="1099"/>
      <c r="D61" s="1099"/>
      <c r="E61" s="1099"/>
      <c r="F61" s="1099"/>
      <c r="G61" s="1099"/>
      <c r="H61" s="1099"/>
      <c r="I61" s="1099"/>
      <c r="J61" s="1100"/>
      <c r="K61" s="1100"/>
      <c r="L61" s="1100"/>
      <c r="M61" s="1100"/>
      <c r="N61" s="1100"/>
      <c r="O61" s="1100"/>
      <c r="P61" s="1100"/>
    </row>
    <row r="62" spans="1:16" hidden="1">
      <c r="A62" s="1101">
        <v>18</v>
      </c>
      <c r="B62" s="1105" t="s">
        <v>1950</v>
      </c>
      <c r="C62" s="1099"/>
      <c r="D62" s="1099"/>
      <c r="E62" s="1099"/>
      <c r="F62" s="1099"/>
      <c r="G62" s="1099"/>
      <c r="H62" s="1099"/>
      <c r="I62" s="1099"/>
      <c r="J62" s="1100"/>
      <c r="K62" s="1100"/>
      <c r="L62" s="1100"/>
      <c r="M62" s="1100"/>
      <c r="N62" s="1100"/>
      <c r="O62" s="1100"/>
      <c r="P62" s="1100"/>
    </row>
    <row r="63" spans="1:16" hidden="1">
      <c r="A63" s="1101">
        <v>19</v>
      </c>
      <c r="B63" s="1105" t="s">
        <v>1951</v>
      </c>
      <c r="C63" s="1099"/>
      <c r="D63" s="1099"/>
      <c r="E63" s="1099"/>
      <c r="F63" s="1099"/>
      <c r="G63" s="1099"/>
      <c r="H63" s="1099"/>
      <c r="I63" s="1099"/>
      <c r="J63" s="1100"/>
      <c r="K63" s="1100"/>
      <c r="L63" s="1100"/>
      <c r="M63" s="1100"/>
      <c r="N63" s="1100"/>
      <c r="O63" s="1100"/>
      <c r="P63" s="1100"/>
    </row>
    <row r="64" spans="1:16" hidden="1">
      <c r="A64" s="1101">
        <v>20</v>
      </c>
      <c r="B64" s="1105" t="s">
        <v>1952</v>
      </c>
      <c r="C64" s="1099"/>
      <c r="D64" s="1099"/>
      <c r="E64" s="1099"/>
      <c r="F64" s="1099"/>
      <c r="G64" s="1099"/>
      <c r="H64" s="1099"/>
      <c r="I64" s="1099"/>
      <c r="J64" s="1100"/>
      <c r="K64" s="1100"/>
      <c r="L64" s="1100"/>
      <c r="M64" s="1100"/>
      <c r="N64" s="1100"/>
      <c r="O64" s="1100"/>
      <c r="P64" s="1100"/>
    </row>
    <row r="65" spans="1:16" hidden="1">
      <c r="A65" s="1101">
        <v>21</v>
      </c>
      <c r="B65" s="1105" t="s">
        <v>1953</v>
      </c>
      <c r="C65" s="1099"/>
      <c r="D65" s="1099"/>
      <c r="E65" s="1099"/>
      <c r="F65" s="1099"/>
      <c r="G65" s="1099"/>
      <c r="H65" s="1099"/>
      <c r="I65" s="1099"/>
      <c r="J65" s="1100"/>
      <c r="K65" s="1100"/>
      <c r="L65" s="1100"/>
      <c r="M65" s="1100"/>
      <c r="N65" s="1100"/>
      <c r="O65" s="1100"/>
      <c r="P65" s="1100"/>
    </row>
    <row r="66" spans="1:16" hidden="1">
      <c r="A66" s="1101">
        <v>22</v>
      </c>
      <c r="B66" s="1105" t="s">
        <v>1954</v>
      </c>
      <c r="C66" s="1099"/>
      <c r="D66" s="1099"/>
      <c r="E66" s="1099"/>
      <c r="F66" s="1099"/>
      <c r="G66" s="1099"/>
      <c r="H66" s="1099"/>
      <c r="I66" s="1099"/>
      <c r="J66" s="1100"/>
      <c r="K66" s="1100"/>
      <c r="L66" s="1100"/>
      <c r="M66" s="1100"/>
      <c r="N66" s="1100"/>
      <c r="O66" s="1100"/>
      <c r="P66" s="1100"/>
    </row>
    <row r="67" spans="1:16" hidden="1">
      <c r="A67" s="1101">
        <v>23</v>
      </c>
      <c r="B67" s="1105" t="s">
        <v>1955</v>
      </c>
      <c r="C67" s="1099"/>
      <c r="D67" s="1099"/>
      <c r="E67" s="1099"/>
      <c r="F67" s="1099"/>
      <c r="G67" s="1099"/>
      <c r="H67" s="1099"/>
      <c r="I67" s="1099"/>
      <c r="J67" s="1100"/>
      <c r="K67" s="1100"/>
      <c r="L67" s="1100"/>
      <c r="M67" s="1100"/>
      <c r="N67" s="1100"/>
      <c r="O67" s="1100"/>
      <c r="P67" s="1100"/>
    </row>
    <row r="68" spans="1:16" hidden="1">
      <c r="A68" s="1101">
        <v>24</v>
      </c>
      <c r="B68" s="1105" t="s">
        <v>1956</v>
      </c>
      <c r="C68" s="1099"/>
      <c r="D68" s="1099"/>
      <c r="E68" s="1099"/>
      <c r="F68" s="1099"/>
      <c r="G68" s="1099"/>
      <c r="H68" s="1099"/>
      <c r="I68" s="1099"/>
      <c r="J68" s="1100"/>
      <c r="K68" s="1100"/>
      <c r="L68" s="1100"/>
      <c r="M68" s="1100"/>
      <c r="N68" s="1100"/>
      <c r="O68" s="1100"/>
      <c r="P68" s="1100"/>
    </row>
    <row r="69" spans="1:16" hidden="1">
      <c r="A69" s="1101">
        <v>25</v>
      </c>
      <c r="B69" s="1105" t="s">
        <v>1957</v>
      </c>
      <c r="C69" s="1099"/>
      <c r="D69" s="1099"/>
      <c r="E69" s="1099"/>
      <c r="F69" s="1099"/>
      <c r="G69" s="1099"/>
      <c r="H69" s="1099"/>
      <c r="I69" s="1099"/>
      <c r="J69" s="1100"/>
      <c r="K69" s="1100"/>
      <c r="L69" s="1100"/>
      <c r="M69" s="1100"/>
      <c r="N69" s="1100"/>
      <c r="O69" s="1100"/>
      <c r="P69" s="1100"/>
    </row>
    <row r="70" spans="1:16" hidden="1">
      <c r="A70" s="1101">
        <v>26</v>
      </c>
      <c r="B70" s="1105" t="s">
        <v>1958</v>
      </c>
      <c r="C70" s="1099"/>
      <c r="D70" s="1099"/>
      <c r="E70" s="1099"/>
      <c r="F70" s="1099"/>
      <c r="G70" s="1099"/>
      <c r="H70" s="1099"/>
      <c r="I70" s="1099"/>
      <c r="J70" s="1100"/>
      <c r="K70" s="1100"/>
      <c r="L70" s="1100"/>
      <c r="M70" s="1100"/>
      <c r="N70" s="1100"/>
      <c r="O70" s="1100"/>
      <c r="P70" s="1100"/>
    </row>
    <row r="71" spans="1:16" hidden="1">
      <c r="A71" s="1101">
        <v>27</v>
      </c>
      <c r="B71" s="1105" t="s">
        <v>1959</v>
      </c>
      <c r="C71" s="1099"/>
      <c r="D71" s="1099"/>
      <c r="E71" s="1099"/>
      <c r="F71" s="1099"/>
      <c r="G71" s="1099"/>
      <c r="H71" s="1099"/>
      <c r="I71" s="1099"/>
      <c r="J71" s="1100"/>
      <c r="K71" s="1100"/>
      <c r="L71" s="1100"/>
      <c r="M71" s="1100"/>
      <c r="N71" s="1100"/>
      <c r="O71" s="1100"/>
      <c r="P71" s="1100"/>
    </row>
    <row r="72" spans="1:16" hidden="1">
      <c r="A72" s="1101">
        <v>28</v>
      </c>
      <c r="B72" s="1105" t="s">
        <v>1960</v>
      </c>
      <c r="C72" s="1099"/>
      <c r="D72" s="1099"/>
      <c r="E72" s="1099"/>
      <c r="F72" s="1099"/>
      <c r="G72" s="1099"/>
      <c r="H72" s="1099"/>
      <c r="I72" s="1099"/>
      <c r="J72" s="1100"/>
      <c r="K72" s="1100"/>
      <c r="L72" s="1100"/>
      <c r="M72" s="1100"/>
      <c r="N72" s="1100"/>
      <c r="O72" s="1100"/>
      <c r="P72" s="1100"/>
    </row>
    <row r="73" spans="1:16" hidden="1">
      <c r="A73" s="1101">
        <v>29</v>
      </c>
      <c r="B73" s="1105" t="s">
        <v>1961</v>
      </c>
      <c r="C73" s="1099"/>
      <c r="D73" s="1099"/>
      <c r="E73" s="1099"/>
      <c r="F73" s="1099"/>
      <c r="G73" s="1099"/>
      <c r="H73" s="1099"/>
      <c r="I73" s="1099"/>
      <c r="J73" s="1100"/>
      <c r="K73" s="1100"/>
      <c r="L73" s="1100"/>
      <c r="M73" s="1100"/>
      <c r="N73" s="1100"/>
      <c r="O73" s="1100"/>
      <c r="P73" s="1100"/>
    </row>
    <row r="74" spans="1:16" hidden="1">
      <c r="A74" s="1101">
        <v>30</v>
      </c>
      <c r="B74" s="1105" t="s">
        <v>1962</v>
      </c>
      <c r="C74" s="1099"/>
      <c r="D74" s="1099"/>
      <c r="E74" s="1099"/>
      <c r="F74" s="1099"/>
      <c r="G74" s="1099"/>
      <c r="H74" s="1099"/>
      <c r="I74" s="1099"/>
      <c r="J74" s="1100"/>
      <c r="K74" s="1100"/>
      <c r="L74" s="1100"/>
      <c r="M74" s="1100"/>
      <c r="N74" s="1100"/>
      <c r="O74" s="1100"/>
      <c r="P74" s="1100"/>
    </row>
    <row r="75" spans="1:16" hidden="1">
      <c r="A75" s="1101">
        <v>31</v>
      </c>
      <c r="B75" s="1105" t="s">
        <v>1963</v>
      </c>
      <c r="C75" s="1099"/>
      <c r="D75" s="1099"/>
      <c r="E75" s="1099"/>
      <c r="F75" s="1099"/>
      <c r="G75" s="1099"/>
      <c r="H75" s="1099"/>
      <c r="I75" s="1099"/>
      <c r="J75" s="1100"/>
      <c r="K75" s="1100"/>
      <c r="L75" s="1100"/>
      <c r="M75" s="1100"/>
      <c r="N75" s="1100"/>
      <c r="O75" s="1100"/>
      <c r="P75" s="1100"/>
    </row>
    <row r="76" spans="1:16" hidden="1">
      <c r="A76" s="1101">
        <v>32</v>
      </c>
      <c r="B76" s="1105" t="s">
        <v>1964</v>
      </c>
      <c r="C76" s="1099"/>
      <c r="D76" s="1099"/>
      <c r="E76" s="1099"/>
      <c r="F76" s="1099"/>
      <c r="G76" s="1099"/>
      <c r="H76" s="1099"/>
      <c r="I76" s="1099"/>
      <c r="J76" s="1100"/>
      <c r="K76" s="1100"/>
      <c r="L76" s="1100"/>
      <c r="M76" s="1100"/>
      <c r="N76" s="1100"/>
      <c r="O76" s="1100"/>
      <c r="P76" s="1100"/>
    </row>
    <row r="77" spans="1:16" hidden="1">
      <c r="A77" s="1101">
        <v>33</v>
      </c>
      <c r="B77" s="1105" t="s">
        <v>1965</v>
      </c>
      <c r="C77" s="1099"/>
      <c r="D77" s="1099"/>
      <c r="E77" s="1099"/>
      <c r="F77" s="1099"/>
      <c r="G77" s="1099"/>
      <c r="H77" s="1099"/>
      <c r="I77" s="1099"/>
      <c r="J77" s="1100"/>
      <c r="K77" s="1100"/>
      <c r="L77" s="1100"/>
      <c r="M77" s="1100"/>
      <c r="N77" s="1100"/>
      <c r="O77" s="1100"/>
      <c r="P77" s="1100"/>
    </row>
    <row r="78" spans="1:16" hidden="1">
      <c r="A78" s="1101">
        <v>34</v>
      </c>
      <c r="B78" s="1105" t="s">
        <v>1966</v>
      </c>
      <c r="C78" s="1099"/>
      <c r="D78" s="1099"/>
      <c r="E78" s="1099"/>
      <c r="F78" s="1099"/>
      <c r="G78" s="1099"/>
      <c r="H78" s="1099"/>
      <c r="I78" s="1099"/>
      <c r="J78" s="1100"/>
      <c r="K78" s="1100"/>
      <c r="L78" s="1100"/>
      <c r="M78" s="1100"/>
      <c r="N78" s="1100"/>
      <c r="O78" s="1100"/>
      <c r="P78" s="1100"/>
    </row>
    <row r="79" spans="1:16" hidden="1">
      <c r="A79" s="1101">
        <v>35</v>
      </c>
      <c r="B79" s="1110" t="s">
        <v>1967</v>
      </c>
      <c r="C79" s="1099"/>
      <c r="D79" s="1099"/>
      <c r="E79" s="1099"/>
      <c r="F79" s="1099"/>
      <c r="G79" s="1099"/>
      <c r="H79" s="1099"/>
      <c r="I79" s="1099"/>
      <c r="J79" s="1100"/>
      <c r="K79" s="1100"/>
      <c r="L79" s="1100"/>
      <c r="M79" s="1100"/>
      <c r="N79" s="1100"/>
      <c r="O79" s="1100"/>
      <c r="P79" s="1100"/>
    </row>
    <row r="80" spans="1:16" hidden="1">
      <c r="A80" s="1101">
        <v>36</v>
      </c>
      <c r="B80" s="1110" t="s">
        <v>1968</v>
      </c>
      <c r="C80" s="1099"/>
      <c r="D80" s="1099"/>
      <c r="E80" s="1099"/>
      <c r="F80" s="1099"/>
      <c r="G80" s="1099"/>
      <c r="H80" s="1099"/>
      <c r="I80" s="1099"/>
      <c r="J80" s="1100"/>
      <c r="K80" s="1100"/>
      <c r="L80" s="1100"/>
      <c r="M80" s="1100"/>
      <c r="N80" s="1100"/>
      <c r="O80" s="1100"/>
      <c r="P80" s="1100"/>
    </row>
    <row r="81" spans="1:16" hidden="1">
      <c r="A81" s="1101">
        <v>37</v>
      </c>
      <c r="B81" s="1110" t="s">
        <v>1969</v>
      </c>
      <c r="C81" s="1099"/>
      <c r="D81" s="1099"/>
      <c r="E81" s="1099"/>
      <c r="F81" s="1099"/>
      <c r="G81" s="1099"/>
      <c r="H81" s="1099"/>
      <c r="I81" s="1099"/>
      <c r="J81" s="1100"/>
      <c r="K81" s="1100"/>
      <c r="L81" s="1100"/>
      <c r="M81" s="1100"/>
      <c r="N81" s="1100"/>
      <c r="O81" s="1100"/>
      <c r="P81" s="1100"/>
    </row>
    <row r="82" spans="1:16" hidden="1">
      <c r="A82" s="1101"/>
      <c r="B82" s="1110"/>
      <c r="C82" s="1099"/>
      <c r="D82" s="1099"/>
      <c r="E82" s="1099"/>
      <c r="F82" s="1099"/>
      <c r="G82" s="1099"/>
      <c r="H82" s="1099"/>
      <c r="I82" s="1099"/>
      <c r="J82" s="1100"/>
      <c r="K82" s="1100"/>
      <c r="L82" s="1100"/>
      <c r="M82" s="1100"/>
      <c r="N82" s="1100"/>
      <c r="O82" s="1100"/>
      <c r="P82" s="1100"/>
    </row>
    <row r="83" spans="1:16" hidden="1">
      <c r="A83" s="1101"/>
      <c r="B83" s="1105" t="s">
        <v>153</v>
      </c>
      <c r="C83" s="1099"/>
      <c r="D83" s="1099"/>
      <c r="E83" s="1099"/>
      <c r="F83" s="1099"/>
      <c r="G83" s="1099"/>
      <c r="H83" s="1099"/>
      <c r="I83" s="1099"/>
      <c r="J83" s="1100"/>
      <c r="K83" s="1100"/>
      <c r="L83" s="1100"/>
      <c r="M83" s="1100"/>
      <c r="N83" s="1100"/>
      <c r="O83" s="1100"/>
      <c r="P83" s="1100"/>
    </row>
    <row r="84" spans="1:16" hidden="1">
      <c r="A84" s="1101"/>
      <c r="B84" s="1105"/>
      <c r="C84" s="1099"/>
      <c r="D84" s="1099"/>
      <c r="E84" s="1099"/>
      <c r="F84" s="1099"/>
      <c r="G84" s="1099"/>
      <c r="H84" s="1099"/>
      <c r="I84" s="1099"/>
      <c r="J84" s="1100"/>
      <c r="K84" s="1100"/>
      <c r="L84" s="1100"/>
      <c r="M84" s="1100"/>
      <c r="N84" s="1100"/>
      <c r="O84" s="1100"/>
      <c r="P84" s="1100"/>
    </row>
    <row r="85" spans="1:16" hidden="1">
      <c r="A85" s="1101" t="s">
        <v>22</v>
      </c>
      <c r="B85" s="1105" t="s">
        <v>1322</v>
      </c>
      <c r="C85" s="1099"/>
      <c r="D85" s="1099"/>
      <c r="E85" s="1099"/>
      <c r="F85" s="1099"/>
      <c r="G85" s="1099"/>
      <c r="H85" s="1099"/>
      <c r="I85" s="1099"/>
      <c r="J85" s="1100"/>
      <c r="K85" s="1100"/>
      <c r="L85" s="1100"/>
      <c r="M85" s="1100"/>
      <c r="N85" s="1100"/>
      <c r="O85" s="1100"/>
      <c r="P85" s="1100"/>
    </row>
    <row r="86" spans="1:16" hidden="1">
      <c r="A86" s="1101">
        <v>1</v>
      </c>
      <c r="B86" s="1105" t="s">
        <v>1322</v>
      </c>
      <c r="C86" s="1099"/>
      <c r="D86" s="1099"/>
      <c r="E86" s="1099"/>
      <c r="F86" s="1099"/>
      <c r="G86" s="1099"/>
      <c r="H86" s="1099"/>
      <c r="I86" s="1099"/>
      <c r="J86" s="1100"/>
      <c r="K86" s="1100"/>
      <c r="L86" s="1100"/>
      <c r="M86" s="1100"/>
      <c r="N86" s="1100"/>
      <c r="O86" s="1100"/>
      <c r="P86" s="1100"/>
    </row>
    <row r="87" spans="1:16" hidden="1">
      <c r="A87" s="1101">
        <v>2</v>
      </c>
      <c r="B87" s="1105" t="s">
        <v>1970</v>
      </c>
      <c r="C87" s="1099"/>
      <c r="D87" s="1099"/>
      <c r="E87" s="1099"/>
      <c r="F87" s="1099"/>
      <c r="G87" s="1099"/>
      <c r="H87" s="1099"/>
      <c r="I87" s="1099"/>
      <c r="J87" s="1100"/>
      <c r="K87" s="1100"/>
      <c r="L87" s="1100"/>
      <c r="M87" s="1100"/>
      <c r="N87" s="1100"/>
      <c r="O87" s="1100"/>
      <c r="P87" s="1100"/>
    </row>
    <row r="88" spans="1:16" hidden="1">
      <c r="A88" s="1101">
        <v>3</v>
      </c>
      <c r="B88" s="1105" t="s">
        <v>1323</v>
      </c>
      <c r="C88" s="1099"/>
      <c r="D88" s="1099"/>
      <c r="E88" s="1099"/>
      <c r="F88" s="1099"/>
      <c r="G88" s="1099"/>
      <c r="H88" s="1099"/>
      <c r="I88" s="1099"/>
      <c r="J88" s="1100"/>
      <c r="K88" s="1100"/>
      <c r="L88" s="1100"/>
      <c r="M88" s="1100"/>
      <c r="N88" s="1100"/>
      <c r="O88" s="1100"/>
      <c r="P88" s="1100"/>
    </row>
    <row r="89" spans="1:16" hidden="1">
      <c r="A89" s="1101">
        <v>4</v>
      </c>
      <c r="B89" s="1105" t="s">
        <v>1971</v>
      </c>
      <c r="C89" s="1099"/>
      <c r="D89" s="1099"/>
      <c r="E89" s="1099"/>
      <c r="F89" s="1099"/>
      <c r="G89" s="1099"/>
      <c r="H89" s="1099"/>
      <c r="I89" s="1099"/>
      <c r="J89" s="1100"/>
      <c r="K89" s="1100"/>
      <c r="L89" s="1100"/>
      <c r="M89" s="1100"/>
      <c r="N89" s="1100"/>
      <c r="O89" s="1100"/>
      <c r="P89" s="1100"/>
    </row>
    <row r="90" spans="1:16" hidden="1">
      <c r="A90" s="1101">
        <v>5</v>
      </c>
      <c r="B90" s="1105" t="s">
        <v>1972</v>
      </c>
      <c r="C90" s="1099"/>
      <c r="D90" s="1099"/>
      <c r="E90" s="1099"/>
      <c r="F90" s="1099"/>
      <c r="G90" s="1099"/>
      <c r="H90" s="1099"/>
      <c r="I90" s="1099"/>
      <c r="J90" s="1100"/>
      <c r="K90" s="1100"/>
      <c r="L90" s="1100"/>
      <c r="M90" s="1100"/>
      <c r="N90" s="1100"/>
      <c r="O90" s="1100"/>
      <c r="P90" s="1100"/>
    </row>
    <row r="91" spans="1:16" hidden="1">
      <c r="A91" s="1101">
        <v>6</v>
      </c>
      <c r="B91" s="1105" t="s">
        <v>1973</v>
      </c>
      <c r="C91" s="1099"/>
      <c r="D91" s="1099"/>
      <c r="E91" s="1099"/>
      <c r="F91" s="1099"/>
      <c r="G91" s="1099"/>
      <c r="H91" s="1099"/>
      <c r="I91" s="1099"/>
      <c r="J91" s="1100"/>
      <c r="K91" s="1100"/>
      <c r="L91" s="1100"/>
      <c r="M91" s="1100"/>
      <c r="N91" s="1100"/>
      <c r="O91" s="1100"/>
      <c r="P91" s="1100"/>
    </row>
    <row r="92" spans="1:16" hidden="1">
      <c r="A92" s="1101"/>
      <c r="B92" s="1105" t="s">
        <v>153</v>
      </c>
      <c r="C92" s="1099"/>
      <c r="D92" s="1099"/>
      <c r="E92" s="1099"/>
      <c r="F92" s="1099"/>
      <c r="G92" s="1099"/>
      <c r="H92" s="1099"/>
      <c r="I92" s="1099"/>
      <c r="J92" s="1100"/>
      <c r="K92" s="1100"/>
      <c r="L92" s="1100"/>
      <c r="M92" s="1100"/>
      <c r="N92" s="1100"/>
      <c r="O92" s="1100"/>
      <c r="P92" s="1100"/>
    </row>
    <row r="93" spans="1:16" hidden="1">
      <c r="A93" s="1101"/>
      <c r="B93" s="1105"/>
      <c r="C93" s="1099"/>
      <c r="D93" s="1099"/>
      <c r="E93" s="1099"/>
      <c r="F93" s="1099"/>
      <c r="G93" s="1099"/>
      <c r="H93" s="1099"/>
      <c r="I93" s="1099"/>
      <c r="J93" s="1100"/>
      <c r="K93" s="1100"/>
      <c r="L93" s="1100"/>
      <c r="M93" s="1100"/>
      <c r="N93" s="1100"/>
      <c r="O93" s="1100"/>
      <c r="P93" s="1100"/>
    </row>
    <row r="94" spans="1:16" hidden="1">
      <c r="A94" s="1106" t="s">
        <v>23</v>
      </c>
      <c r="B94" s="1105" t="s">
        <v>1325</v>
      </c>
      <c r="C94" s="1099"/>
      <c r="D94" s="1099"/>
      <c r="E94" s="1099"/>
      <c r="F94" s="1099"/>
      <c r="G94" s="1099"/>
      <c r="H94" s="1099"/>
      <c r="I94" s="1099"/>
      <c r="J94" s="1100"/>
      <c r="K94" s="1100"/>
      <c r="L94" s="1100"/>
      <c r="M94" s="1100"/>
      <c r="N94" s="1100"/>
      <c r="O94" s="1100"/>
      <c r="P94" s="1100"/>
    </row>
    <row r="95" spans="1:16" hidden="1">
      <c r="A95" s="1101">
        <v>1</v>
      </c>
      <c r="B95" s="1105" t="s">
        <v>1325</v>
      </c>
      <c r="C95" s="1099"/>
      <c r="D95" s="1099"/>
      <c r="E95" s="1099"/>
      <c r="F95" s="1099"/>
      <c r="G95" s="1099"/>
      <c r="H95" s="1099"/>
      <c r="I95" s="1099"/>
      <c r="J95" s="1100"/>
      <c r="K95" s="1100"/>
      <c r="L95" s="1100"/>
      <c r="M95" s="1100"/>
      <c r="N95" s="1100"/>
      <c r="O95" s="1100"/>
      <c r="P95" s="1100"/>
    </row>
    <row r="96" spans="1:16" hidden="1">
      <c r="A96" s="1101">
        <v>2</v>
      </c>
      <c r="B96" s="1105" t="s">
        <v>1974</v>
      </c>
      <c r="C96" s="1099"/>
      <c r="D96" s="1099"/>
      <c r="E96" s="1099"/>
      <c r="F96" s="1099"/>
      <c r="G96" s="1099"/>
      <c r="H96" s="1099"/>
      <c r="I96" s="1099"/>
      <c r="J96" s="1100"/>
      <c r="K96" s="1100"/>
      <c r="L96" s="1100"/>
      <c r="M96" s="1100"/>
      <c r="N96" s="1100"/>
      <c r="O96" s="1100"/>
      <c r="P96" s="1100"/>
    </row>
    <row r="97" spans="1:16" hidden="1">
      <c r="A97" s="1101">
        <v>3</v>
      </c>
      <c r="B97" s="1105" t="s">
        <v>1975</v>
      </c>
      <c r="C97" s="1099"/>
      <c r="D97" s="1099"/>
      <c r="E97" s="1099"/>
      <c r="F97" s="1099"/>
      <c r="G97" s="1099"/>
      <c r="H97" s="1099"/>
      <c r="I97" s="1099"/>
      <c r="J97" s="1100"/>
      <c r="K97" s="1100"/>
      <c r="L97" s="1100"/>
      <c r="M97" s="1100"/>
      <c r="N97" s="1100"/>
      <c r="O97" s="1100"/>
      <c r="P97" s="1100"/>
    </row>
    <row r="98" spans="1:16" hidden="1">
      <c r="A98" s="1101">
        <v>4</v>
      </c>
      <c r="B98" s="1105" t="s">
        <v>1976</v>
      </c>
      <c r="C98" s="1099"/>
      <c r="D98" s="1099"/>
      <c r="E98" s="1099"/>
      <c r="F98" s="1099"/>
      <c r="G98" s="1099"/>
      <c r="H98" s="1099"/>
      <c r="I98" s="1099"/>
      <c r="J98" s="1111"/>
      <c r="K98" s="1111"/>
      <c r="L98" s="1111"/>
      <c r="M98" s="1111"/>
      <c r="N98" s="1111"/>
      <c r="O98" s="1111"/>
      <c r="P98" s="1111"/>
    </row>
    <row r="99" spans="1:16" hidden="1">
      <c r="A99" s="1101">
        <v>5</v>
      </c>
      <c r="B99" s="1105" t="s">
        <v>1977</v>
      </c>
      <c r="C99" s="1099"/>
      <c r="D99" s="1099"/>
      <c r="E99" s="1099"/>
      <c r="F99" s="1099"/>
      <c r="G99" s="1099"/>
      <c r="H99" s="1099"/>
      <c r="I99" s="1099"/>
      <c r="J99" s="1100"/>
      <c r="K99" s="1100"/>
      <c r="L99" s="1100"/>
      <c r="M99" s="1100"/>
      <c r="N99" s="1100"/>
      <c r="O99" s="1100"/>
      <c r="P99" s="1100"/>
    </row>
    <row r="100" spans="1:16" hidden="1">
      <c r="A100" s="1101">
        <v>6</v>
      </c>
      <c r="B100" s="1105" t="s">
        <v>1978</v>
      </c>
      <c r="C100" s="1100"/>
      <c r="D100" s="1100"/>
      <c r="E100" s="1100"/>
      <c r="F100" s="1100"/>
      <c r="G100" s="1100"/>
      <c r="H100" s="1100"/>
      <c r="I100" s="1100"/>
      <c r="J100" s="1100"/>
      <c r="K100" s="1100"/>
      <c r="L100" s="1100"/>
      <c r="M100" s="1100"/>
      <c r="N100" s="1100"/>
      <c r="O100" s="1100"/>
      <c r="P100" s="1100"/>
    </row>
    <row r="101" spans="1:16" hidden="1">
      <c r="A101" s="1101">
        <v>7</v>
      </c>
      <c r="B101" s="1105" t="s">
        <v>1979</v>
      </c>
      <c r="C101" s="1100"/>
      <c r="D101" s="1100"/>
      <c r="E101" s="1100"/>
      <c r="F101" s="1100"/>
      <c r="G101" s="1100"/>
      <c r="H101" s="1100"/>
      <c r="I101" s="1100"/>
      <c r="J101" s="1100"/>
      <c r="K101" s="1100"/>
      <c r="L101" s="1100"/>
      <c r="M101" s="1100"/>
      <c r="N101" s="1100"/>
      <c r="O101" s="1100"/>
      <c r="P101" s="1100"/>
    </row>
    <row r="102" spans="1:16" hidden="1">
      <c r="A102" s="1101">
        <v>8</v>
      </c>
      <c r="B102" s="1105" t="s">
        <v>1980</v>
      </c>
      <c r="C102" s="1100"/>
      <c r="D102" s="1100"/>
      <c r="E102" s="1100"/>
      <c r="F102" s="1100"/>
      <c r="G102" s="1100"/>
      <c r="H102" s="1100"/>
      <c r="I102" s="1100"/>
      <c r="J102" s="1100"/>
      <c r="K102" s="1100"/>
      <c r="L102" s="1100"/>
      <c r="M102" s="1100"/>
      <c r="N102" s="1100"/>
      <c r="O102" s="1100"/>
      <c r="P102" s="1100"/>
    </row>
    <row r="103" spans="1:16" hidden="1">
      <c r="A103" s="1101">
        <v>9</v>
      </c>
      <c r="B103" s="1105" t="s">
        <v>1981</v>
      </c>
      <c r="C103" s="1100"/>
      <c r="D103" s="1100"/>
      <c r="E103" s="1100"/>
      <c r="F103" s="1100"/>
      <c r="G103" s="1100"/>
      <c r="H103" s="1100"/>
      <c r="I103" s="1100"/>
      <c r="J103" s="1100"/>
      <c r="K103" s="1100"/>
      <c r="L103" s="1100"/>
      <c r="M103" s="1100"/>
      <c r="N103" s="1100"/>
      <c r="O103" s="1100"/>
      <c r="P103" s="1100"/>
    </row>
    <row r="104" spans="1:16" hidden="1">
      <c r="A104" s="1101">
        <v>10</v>
      </c>
      <c r="B104" s="1105" t="s">
        <v>1982</v>
      </c>
      <c r="C104" s="1100"/>
      <c r="D104" s="1100"/>
      <c r="E104" s="1100"/>
      <c r="F104" s="1100"/>
      <c r="G104" s="1100"/>
      <c r="H104" s="1100"/>
      <c r="I104" s="1100"/>
      <c r="J104" s="1100"/>
      <c r="K104" s="1100"/>
      <c r="L104" s="1100"/>
      <c r="M104" s="1100"/>
      <c r="N104" s="1100"/>
      <c r="O104" s="1100"/>
      <c r="P104" s="1100"/>
    </row>
    <row r="105" spans="1:16" hidden="1">
      <c r="A105" s="1101">
        <v>11</v>
      </c>
      <c r="B105" s="1105" t="s">
        <v>1983</v>
      </c>
      <c r="C105" s="1100"/>
      <c r="D105" s="1100"/>
      <c r="E105" s="1100"/>
      <c r="F105" s="1100"/>
      <c r="G105" s="1100"/>
      <c r="H105" s="1100"/>
      <c r="I105" s="1100"/>
      <c r="J105" s="1100"/>
      <c r="K105" s="1100"/>
      <c r="L105" s="1100"/>
      <c r="M105" s="1100"/>
      <c r="N105" s="1100"/>
      <c r="O105" s="1100"/>
      <c r="P105" s="1100"/>
    </row>
    <row r="106" spans="1:16" hidden="1">
      <c r="A106" s="1101">
        <v>12</v>
      </c>
      <c r="B106" s="1105" t="s">
        <v>1984</v>
      </c>
      <c r="C106" s="1100"/>
      <c r="D106" s="1100"/>
      <c r="E106" s="1100"/>
      <c r="F106" s="1100"/>
      <c r="G106" s="1100"/>
      <c r="H106" s="1100"/>
      <c r="I106" s="1100"/>
      <c r="J106" s="1100"/>
      <c r="K106" s="1100"/>
      <c r="L106" s="1100"/>
      <c r="M106" s="1100"/>
      <c r="N106" s="1100"/>
      <c r="O106" s="1100"/>
      <c r="P106" s="1100"/>
    </row>
    <row r="107" spans="1:16" hidden="1">
      <c r="A107" s="1101">
        <v>13</v>
      </c>
      <c r="B107" s="1105" t="s">
        <v>1985</v>
      </c>
      <c r="C107" s="1100"/>
      <c r="D107" s="1100"/>
      <c r="E107" s="1100"/>
      <c r="F107" s="1100"/>
      <c r="G107" s="1100"/>
      <c r="H107" s="1100"/>
      <c r="I107" s="1100"/>
      <c r="J107" s="1100"/>
      <c r="K107" s="1100"/>
      <c r="L107" s="1100"/>
      <c r="M107" s="1100"/>
      <c r="N107" s="1100"/>
      <c r="O107" s="1100"/>
      <c r="P107" s="1100"/>
    </row>
    <row r="108" spans="1:16" hidden="1">
      <c r="A108" s="1101"/>
      <c r="B108" s="1105" t="s">
        <v>153</v>
      </c>
      <c r="C108" s="1100"/>
      <c r="D108" s="1100"/>
      <c r="E108" s="1100"/>
      <c r="F108" s="1100"/>
      <c r="G108" s="1100"/>
      <c r="H108" s="1100"/>
      <c r="I108" s="1100"/>
      <c r="J108" s="1111"/>
      <c r="K108" s="1111"/>
      <c r="L108" s="1111"/>
      <c r="M108" s="1111"/>
      <c r="N108" s="1111"/>
      <c r="O108" s="1111"/>
      <c r="P108" s="1111"/>
    </row>
    <row r="109" spans="1:16" hidden="1">
      <c r="A109" s="1101"/>
      <c r="B109" s="1105"/>
      <c r="C109" s="1100"/>
      <c r="D109" s="1100"/>
      <c r="E109" s="1100"/>
      <c r="F109" s="1100"/>
      <c r="G109" s="1100"/>
      <c r="H109" s="1100"/>
      <c r="I109" s="1100"/>
      <c r="J109" s="1111"/>
      <c r="K109" s="1111"/>
      <c r="L109" s="1111"/>
      <c r="M109" s="1111"/>
      <c r="N109" s="1111"/>
      <c r="O109" s="1111"/>
      <c r="P109" s="1111"/>
    </row>
    <row r="110" spans="1:16" hidden="1">
      <c r="A110" s="1101" t="s">
        <v>24</v>
      </c>
      <c r="B110" s="1105" t="s">
        <v>1467</v>
      </c>
      <c r="C110" s="1100"/>
      <c r="D110" s="1100"/>
      <c r="E110" s="1100"/>
      <c r="F110" s="1100"/>
      <c r="G110" s="1100"/>
      <c r="H110" s="1100"/>
      <c r="I110" s="1100"/>
      <c r="J110" s="1111"/>
      <c r="K110" s="1111"/>
      <c r="L110" s="1111"/>
      <c r="M110" s="1111"/>
      <c r="N110" s="1111"/>
      <c r="O110" s="1111"/>
      <c r="P110" s="1111"/>
    </row>
    <row r="111" spans="1:16" hidden="1">
      <c r="A111" s="1101">
        <v>1</v>
      </c>
      <c r="B111" s="1105" t="s">
        <v>1467</v>
      </c>
      <c r="C111" s="1100"/>
      <c r="D111" s="1100"/>
      <c r="E111" s="1100"/>
      <c r="F111" s="1100"/>
      <c r="G111" s="1100"/>
      <c r="H111" s="1100"/>
      <c r="I111" s="1100"/>
      <c r="J111" s="1111"/>
      <c r="K111" s="1111"/>
      <c r="L111" s="1111"/>
      <c r="M111" s="1111"/>
      <c r="N111" s="1111"/>
      <c r="O111" s="1111"/>
      <c r="P111" s="1111"/>
    </row>
    <row r="112" spans="1:16" hidden="1">
      <c r="A112" s="1101">
        <v>2</v>
      </c>
      <c r="B112" s="1105" t="s">
        <v>1986</v>
      </c>
      <c r="C112" s="1100"/>
      <c r="D112" s="1100"/>
      <c r="E112" s="1100"/>
      <c r="F112" s="1100"/>
      <c r="G112" s="1100"/>
      <c r="H112" s="1100"/>
      <c r="I112" s="1100"/>
      <c r="J112" s="1111"/>
      <c r="K112" s="1111"/>
      <c r="L112" s="1111"/>
      <c r="M112" s="1111"/>
      <c r="N112" s="1111"/>
      <c r="O112" s="1111"/>
      <c r="P112" s="1111"/>
    </row>
    <row r="113" spans="1:147" hidden="1">
      <c r="A113" s="1101"/>
      <c r="B113" s="1105"/>
      <c r="C113" s="1100"/>
      <c r="D113" s="1100"/>
      <c r="E113" s="1100"/>
      <c r="F113" s="1100"/>
      <c r="G113" s="1100"/>
      <c r="H113" s="1100"/>
      <c r="I113" s="1100"/>
      <c r="J113" s="1111"/>
      <c r="K113" s="1111"/>
      <c r="L113" s="1111"/>
      <c r="M113" s="1111"/>
      <c r="N113" s="1111"/>
      <c r="O113" s="1111"/>
      <c r="P113" s="1111"/>
    </row>
    <row r="114" spans="1:147" hidden="1">
      <c r="A114" s="1101"/>
      <c r="B114" s="1105"/>
      <c r="C114" s="1100"/>
      <c r="D114" s="1100"/>
      <c r="E114" s="1100"/>
      <c r="F114" s="1100"/>
      <c r="G114" s="1100"/>
      <c r="H114" s="1100"/>
      <c r="I114" s="1100"/>
      <c r="J114" s="1111"/>
      <c r="K114" s="1111"/>
      <c r="L114" s="1111"/>
      <c r="M114" s="1111"/>
      <c r="N114" s="1111"/>
      <c r="O114" s="1111"/>
      <c r="P114" s="1111"/>
    </row>
    <row r="115" spans="1:147" hidden="1">
      <c r="A115" s="1101"/>
      <c r="B115" s="1105" t="s">
        <v>153</v>
      </c>
      <c r="C115" s="1100"/>
      <c r="D115" s="1100"/>
      <c r="E115" s="1100"/>
      <c r="F115" s="1100"/>
      <c r="G115" s="1100"/>
      <c r="H115" s="1100"/>
      <c r="I115" s="1100"/>
      <c r="J115" s="1111"/>
      <c r="K115" s="1111"/>
      <c r="L115" s="1111"/>
      <c r="M115" s="1111"/>
      <c r="N115" s="1111"/>
      <c r="O115" s="1111"/>
      <c r="P115" s="1111"/>
    </row>
    <row r="116" spans="1:147" hidden="1">
      <c r="A116" s="1101"/>
      <c r="B116" s="1105"/>
      <c r="C116" s="1100"/>
      <c r="D116" s="1100"/>
      <c r="E116" s="1100"/>
      <c r="F116" s="1100"/>
      <c r="G116" s="1100"/>
      <c r="H116" s="1100"/>
      <c r="I116" s="1100"/>
      <c r="J116" s="1100"/>
      <c r="K116" s="1100"/>
      <c r="L116" s="1100"/>
      <c r="M116" s="1100"/>
      <c r="N116" s="1100"/>
      <c r="O116" s="1100"/>
      <c r="P116" s="1100"/>
      <c r="Q116" s="1112"/>
      <c r="R116" s="1112"/>
      <c r="S116" s="1112"/>
      <c r="T116" s="1112"/>
      <c r="AJ116" s="1112"/>
      <c r="AK116" s="1112"/>
      <c r="AL116" s="1112"/>
      <c r="AM116" s="1112"/>
      <c r="AN116" s="1112"/>
      <c r="AO116" s="1112"/>
      <c r="AP116" s="1112"/>
      <c r="AQ116" s="1112"/>
      <c r="AR116" s="1112"/>
      <c r="AS116" s="1112"/>
      <c r="AT116" s="1112"/>
      <c r="AU116" s="1112"/>
      <c r="AV116" s="1112"/>
      <c r="AW116" s="1112"/>
      <c r="AX116" s="1112"/>
      <c r="AY116" s="1112"/>
      <c r="AZ116" s="1112"/>
      <c r="BA116" s="1112"/>
      <c r="BB116" s="1112"/>
      <c r="BC116" s="1112"/>
      <c r="BD116" s="1112"/>
      <c r="BE116" s="1112"/>
      <c r="BF116" s="1112"/>
      <c r="BG116" s="1112"/>
      <c r="BH116" s="1112"/>
      <c r="BI116" s="1112"/>
      <c r="BJ116" s="1112"/>
      <c r="BK116" s="1113"/>
      <c r="BL116" s="1113"/>
      <c r="BM116" s="1113"/>
      <c r="BN116" s="1113"/>
      <c r="BO116" s="1113"/>
      <c r="BP116" s="1113"/>
      <c r="BQ116" s="1113"/>
      <c r="BR116" s="1113"/>
      <c r="BS116" s="1113"/>
      <c r="BT116" s="1113"/>
      <c r="BU116" s="1113"/>
      <c r="BV116" s="1113"/>
      <c r="BW116" s="1113"/>
      <c r="BX116" s="1113"/>
      <c r="BY116" s="1113"/>
      <c r="BZ116" s="1113"/>
      <c r="CA116" s="1113"/>
      <c r="CB116" s="1113"/>
      <c r="CC116" s="1113"/>
      <c r="CD116" s="1113"/>
      <c r="CE116" s="1113"/>
      <c r="CF116" s="1113"/>
      <c r="CG116" s="1113"/>
      <c r="CH116" s="1113"/>
      <c r="CI116" s="1113"/>
      <c r="CJ116" s="1113"/>
      <c r="CK116" s="1113"/>
      <c r="CL116" s="1113"/>
      <c r="CM116" s="1113"/>
      <c r="CN116" s="1113"/>
      <c r="CO116" s="1113"/>
      <c r="CP116" s="1113"/>
      <c r="CQ116" s="1113"/>
      <c r="CR116" s="1113"/>
      <c r="CS116" s="1113"/>
      <c r="CT116" s="1113"/>
      <c r="CU116" s="1113"/>
      <c r="CV116" s="1113"/>
      <c r="CW116" s="1113"/>
      <c r="CX116" s="1113"/>
      <c r="CY116" s="1113"/>
      <c r="CZ116" s="1113"/>
      <c r="DA116" s="1113"/>
      <c r="DB116" s="1113"/>
      <c r="DC116" s="1113"/>
      <c r="DD116" s="1113"/>
      <c r="DE116" s="1113"/>
      <c r="DF116" s="1113"/>
      <c r="DG116" s="1113"/>
      <c r="DH116" s="1113"/>
      <c r="DI116" s="1113"/>
      <c r="DJ116" s="1113"/>
      <c r="DK116" s="1113"/>
      <c r="DL116" s="1113"/>
      <c r="DM116" s="1113"/>
      <c r="DN116" s="1113"/>
      <c r="DO116" s="1113"/>
      <c r="DP116" s="1113"/>
      <c r="DQ116" s="1113"/>
      <c r="DR116" s="1113"/>
      <c r="DS116" s="1113"/>
      <c r="DT116" s="1113"/>
      <c r="DU116" s="1113"/>
      <c r="DV116" s="1113"/>
      <c r="DW116" s="1113"/>
      <c r="DX116" s="1113"/>
      <c r="DY116" s="1113"/>
      <c r="DZ116" s="1113"/>
      <c r="EA116" s="1113"/>
      <c r="EB116" s="1113"/>
      <c r="EC116" s="1113"/>
      <c r="ED116" s="1113"/>
      <c r="EE116" s="1113"/>
      <c r="EF116" s="1113"/>
      <c r="EG116" s="1113"/>
      <c r="EH116" s="1113"/>
      <c r="EI116" s="1113"/>
      <c r="EJ116" s="1113"/>
      <c r="EK116" s="1113"/>
      <c r="EL116" s="1113"/>
      <c r="EM116" s="1113"/>
      <c r="EN116" s="1113"/>
      <c r="EO116" s="1113"/>
      <c r="EP116" s="1113"/>
      <c r="EQ116" s="1114"/>
    </row>
    <row r="117" spans="1:147" hidden="1">
      <c r="A117" s="1101" t="s">
        <v>26</v>
      </c>
      <c r="B117" s="1105" t="s">
        <v>1468</v>
      </c>
      <c r="C117" s="1100"/>
      <c r="D117" s="1100"/>
      <c r="E117" s="1100"/>
      <c r="F117" s="1100"/>
      <c r="G117" s="1100"/>
      <c r="H117" s="1100"/>
      <c r="I117" s="1100"/>
      <c r="J117" s="1100"/>
      <c r="K117" s="1100"/>
      <c r="L117" s="1100"/>
      <c r="M117" s="1100"/>
      <c r="N117" s="1100"/>
      <c r="O117" s="1100"/>
      <c r="P117" s="1100"/>
      <c r="Q117" s="1112"/>
      <c r="R117" s="1112"/>
      <c r="S117" s="1112"/>
      <c r="T117" s="1112"/>
      <c r="AJ117" s="1112"/>
      <c r="AK117" s="1112"/>
      <c r="AL117" s="1112"/>
      <c r="AM117" s="1112"/>
      <c r="AN117" s="1112"/>
      <c r="AO117" s="1112"/>
      <c r="AP117" s="1112"/>
      <c r="AQ117" s="1112"/>
      <c r="AR117" s="1112"/>
      <c r="AS117" s="1112"/>
      <c r="AT117" s="1112"/>
      <c r="AU117" s="1112"/>
      <c r="AV117" s="1112"/>
      <c r="AW117" s="1112"/>
      <c r="AX117" s="1112"/>
      <c r="AY117" s="1112"/>
      <c r="AZ117" s="1112"/>
      <c r="BA117" s="1112"/>
      <c r="BB117" s="1112"/>
      <c r="BC117" s="1112"/>
      <c r="BD117" s="1112"/>
      <c r="BE117" s="1112"/>
      <c r="BF117" s="1112"/>
      <c r="BG117" s="1112"/>
      <c r="BH117" s="1112"/>
      <c r="BI117" s="1112"/>
      <c r="BJ117" s="1112"/>
      <c r="BK117" s="1113"/>
      <c r="BL117" s="1113"/>
      <c r="BM117" s="1113"/>
      <c r="BN117" s="1113"/>
      <c r="BO117" s="1113"/>
      <c r="BP117" s="1113"/>
      <c r="BQ117" s="1113"/>
      <c r="BR117" s="1113"/>
      <c r="BS117" s="1113"/>
      <c r="BT117" s="1113"/>
      <c r="BU117" s="1113"/>
      <c r="BV117" s="1113"/>
      <c r="BW117" s="1113"/>
      <c r="BX117" s="1113"/>
      <c r="BY117" s="1113"/>
      <c r="BZ117" s="1113"/>
      <c r="CA117" s="1113"/>
      <c r="CB117" s="1113"/>
      <c r="CC117" s="1113"/>
      <c r="CD117" s="1113"/>
      <c r="CE117" s="1113"/>
      <c r="CF117" s="1113"/>
      <c r="CG117" s="1113"/>
      <c r="CH117" s="1113"/>
      <c r="CI117" s="1113"/>
      <c r="CJ117" s="1113"/>
      <c r="CK117" s="1113"/>
      <c r="CL117" s="1113"/>
      <c r="CM117" s="1113"/>
      <c r="CN117" s="1113"/>
      <c r="CO117" s="1113"/>
      <c r="CP117" s="1113"/>
      <c r="CQ117" s="1113"/>
      <c r="CR117" s="1113"/>
      <c r="CS117" s="1113"/>
      <c r="CT117" s="1113"/>
      <c r="CU117" s="1113"/>
      <c r="CV117" s="1113"/>
      <c r="CW117" s="1113"/>
      <c r="CX117" s="1113"/>
      <c r="CY117" s="1113"/>
      <c r="CZ117" s="1113"/>
      <c r="DA117" s="1113"/>
      <c r="DB117" s="1113"/>
      <c r="DC117" s="1113"/>
      <c r="DD117" s="1113"/>
      <c r="DE117" s="1113"/>
      <c r="DF117" s="1113"/>
      <c r="DG117" s="1113"/>
      <c r="DH117" s="1113"/>
      <c r="DI117" s="1113"/>
      <c r="DJ117" s="1113"/>
      <c r="DK117" s="1113"/>
      <c r="DL117" s="1113"/>
      <c r="DM117" s="1113"/>
      <c r="DN117" s="1113"/>
      <c r="DO117" s="1113"/>
      <c r="DP117" s="1113"/>
      <c r="DQ117" s="1113"/>
      <c r="DR117" s="1113"/>
      <c r="DS117" s="1113"/>
      <c r="DT117" s="1113"/>
      <c r="DU117" s="1113"/>
      <c r="DV117" s="1113"/>
      <c r="DW117" s="1113"/>
      <c r="DX117" s="1113"/>
      <c r="DY117" s="1113"/>
      <c r="DZ117" s="1113"/>
      <c r="EA117" s="1113"/>
      <c r="EB117" s="1113"/>
      <c r="EC117" s="1113"/>
      <c r="ED117" s="1113"/>
      <c r="EE117" s="1113"/>
      <c r="EF117" s="1113"/>
      <c r="EG117" s="1113"/>
      <c r="EH117" s="1113"/>
      <c r="EI117" s="1113"/>
      <c r="EJ117" s="1113"/>
      <c r="EK117" s="1113"/>
      <c r="EL117" s="1113"/>
      <c r="EM117" s="1113"/>
      <c r="EN117" s="1113"/>
      <c r="EO117" s="1115"/>
      <c r="EP117" s="1115"/>
      <c r="EQ117" s="1115"/>
    </row>
    <row r="118" spans="1:147" hidden="1">
      <c r="A118" s="1101"/>
      <c r="B118" s="1105" t="s">
        <v>1469</v>
      </c>
      <c r="C118" s="1100"/>
      <c r="D118" s="1100"/>
      <c r="E118" s="1100"/>
      <c r="F118" s="1100"/>
      <c r="G118" s="1100"/>
      <c r="H118" s="1100"/>
      <c r="I118" s="1100"/>
      <c r="J118" s="1100"/>
      <c r="K118" s="1100"/>
      <c r="L118" s="1100"/>
      <c r="M118" s="1100"/>
      <c r="N118" s="1100"/>
      <c r="O118" s="1100"/>
      <c r="P118" s="1100"/>
      <c r="Q118" s="1112"/>
      <c r="R118" s="1112"/>
      <c r="S118" s="1112"/>
      <c r="T118" s="1112"/>
      <c r="U118" s="1112"/>
      <c r="V118" s="1112"/>
      <c r="W118" s="1112"/>
      <c r="X118" s="1112"/>
      <c r="Y118" s="1112"/>
      <c r="Z118" s="1112"/>
      <c r="AA118" s="1112"/>
      <c r="AB118" s="1112"/>
      <c r="AC118" s="1112"/>
      <c r="AD118" s="1112"/>
      <c r="AE118" s="1112"/>
      <c r="AF118" s="1112"/>
      <c r="AG118" s="1112"/>
      <c r="AH118" s="1112"/>
      <c r="AI118" s="1112"/>
      <c r="AJ118" s="1112"/>
      <c r="AK118" s="1112"/>
      <c r="AL118" s="1112"/>
      <c r="AM118" s="1112"/>
      <c r="AN118" s="1112"/>
      <c r="AO118" s="1112"/>
      <c r="AP118" s="1112"/>
      <c r="AQ118" s="1112"/>
      <c r="AR118" s="1112"/>
      <c r="AS118" s="1112"/>
      <c r="AT118" s="1112"/>
      <c r="AU118" s="1112"/>
      <c r="AV118" s="1112"/>
      <c r="AW118" s="1112"/>
      <c r="AX118" s="1112"/>
      <c r="AY118" s="1112"/>
      <c r="AZ118" s="1112"/>
      <c r="BA118" s="1112"/>
      <c r="BB118" s="1112"/>
      <c r="BC118" s="1112"/>
      <c r="BD118" s="1112"/>
      <c r="BE118" s="1112"/>
      <c r="BF118" s="1112"/>
      <c r="BG118" s="1112"/>
      <c r="BH118" s="1112"/>
      <c r="BI118" s="1112"/>
      <c r="BJ118" s="1112"/>
      <c r="BK118" s="1113"/>
      <c r="BL118" s="1113"/>
      <c r="BM118" s="1113"/>
      <c r="BN118" s="1113"/>
      <c r="BO118" s="1113"/>
      <c r="BP118" s="1113"/>
      <c r="BQ118" s="1113"/>
      <c r="BR118" s="1113"/>
      <c r="BS118" s="1113"/>
      <c r="BT118" s="1113"/>
      <c r="BU118" s="1113"/>
      <c r="BV118" s="1113"/>
      <c r="BW118" s="1113"/>
      <c r="BX118" s="1113"/>
      <c r="BY118" s="1113"/>
      <c r="BZ118" s="1113"/>
      <c r="CA118" s="1113"/>
      <c r="CB118" s="1113"/>
      <c r="CC118" s="1113"/>
      <c r="CD118" s="1113"/>
      <c r="CE118" s="1113"/>
      <c r="CF118" s="1113"/>
      <c r="CG118" s="1113"/>
      <c r="CH118" s="1113"/>
      <c r="CI118" s="1113"/>
      <c r="CJ118" s="1113"/>
      <c r="CK118" s="1113"/>
      <c r="CL118" s="1113"/>
      <c r="CM118" s="1113"/>
      <c r="CN118" s="1113"/>
      <c r="CO118" s="1113"/>
      <c r="CP118" s="1113"/>
      <c r="CQ118" s="1113"/>
      <c r="CR118" s="1113"/>
      <c r="CS118" s="1113"/>
      <c r="CT118" s="1113"/>
      <c r="CU118" s="1113"/>
      <c r="CV118" s="1113"/>
      <c r="CW118" s="1113"/>
      <c r="CX118" s="1113"/>
      <c r="CY118" s="1113"/>
      <c r="CZ118" s="1113"/>
      <c r="DA118" s="1113"/>
      <c r="DB118" s="1113"/>
      <c r="DC118" s="1113"/>
      <c r="DD118" s="1113"/>
      <c r="DE118" s="1113"/>
      <c r="DF118" s="1113"/>
      <c r="DG118" s="1113"/>
      <c r="DH118" s="1113"/>
      <c r="DI118" s="1113"/>
      <c r="DJ118" s="1113"/>
      <c r="DK118" s="1113"/>
      <c r="DL118" s="1113"/>
      <c r="DM118" s="1113"/>
      <c r="DN118" s="1113"/>
      <c r="DO118" s="1113"/>
      <c r="DP118" s="1113"/>
      <c r="DQ118" s="1113"/>
      <c r="DR118" s="1113"/>
      <c r="DS118" s="1113"/>
      <c r="DT118" s="1113"/>
      <c r="DU118" s="1113"/>
      <c r="DV118" s="1113"/>
      <c r="DW118" s="1113"/>
      <c r="DX118" s="1113"/>
      <c r="DY118" s="1113"/>
      <c r="DZ118" s="1113"/>
      <c r="EA118" s="1113"/>
      <c r="EB118" s="1113"/>
      <c r="EC118" s="1113"/>
      <c r="ED118" s="1113"/>
      <c r="EE118" s="1113"/>
      <c r="EF118" s="1113"/>
      <c r="EG118" s="1113"/>
      <c r="EH118" s="1113"/>
      <c r="EI118" s="1113"/>
      <c r="EJ118" s="1113"/>
      <c r="EK118" s="1113"/>
      <c r="EL118" s="1113"/>
      <c r="EM118" s="1113"/>
      <c r="EN118" s="1113"/>
      <c r="EO118" s="1115"/>
      <c r="EP118" s="1115"/>
      <c r="EQ118" s="1115"/>
    </row>
    <row r="119" spans="1:147" hidden="1">
      <c r="A119" s="1101">
        <v>1</v>
      </c>
      <c r="B119" s="1105" t="s">
        <v>1469</v>
      </c>
      <c r="C119" s="1100"/>
      <c r="D119" s="1100"/>
      <c r="E119" s="1100"/>
      <c r="F119" s="1100"/>
      <c r="G119" s="1100"/>
      <c r="H119" s="1100"/>
      <c r="I119" s="1100"/>
      <c r="J119" s="1100"/>
      <c r="K119" s="1100"/>
      <c r="L119" s="1100"/>
      <c r="M119" s="1100"/>
      <c r="N119" s="1100"/>
      <c r="O119" s="1100"/>
      <c r="P119" s="1100"/>
    </row>
    <row r="120" spans="1:147" hidden="1">
      <c r="A120" s="1101">
        <v>2</v>
      </c>
      <c r="B120" s="1105" t="s">
        <v>1987</v>
      </c>
      <c r="C120" s="1100"/>
      <c r="D120" s="1100"/>
      <c r="E120" s="1100"/>
      <c r="F120" s="1100"/>
      <c r="G120" s="1100"/>
      <c r="H120" s="1100"/>
      <c r="I120" s="1100"/>
      <c r="J120" s="1100"/>
      <c r="K120" s="1100"/>
      <c r="L120" s="1100"/>
      <c r="M120" s="1100"/>
      <c r="N120" s="1100"/>
      <c r="O120" s="1100"/>
      <c r="P120" s="1100"/>
    </row>
    <row r="121" spans="1:147" hidden="1">
      <c r="A121" s="1101">
        <v>3</v>
      </c>
      <c r="B121" s="1105" t="s">
        <v>1988</v>
      </c>
      <c r="C121" s="1100"/>
      <c r="D121" s="1100"/>
      <c r="E121" s="1100"/>
      <c r="F121" s="1100"/>
      <c r="G121" s="1100"/>
      <c r="H121" s="1100"/>
      <c r="I121" s="1100"/>
      <c r="J121" s="1100"/>
      <c r="K121" s="1100"/>
      <c r="L121" s="1100"/>
      <c r="M121" s="1100"/>
      <c r="N121" s="1100"/>
      <c r="O121" s="1100"/>
      <c r="P121" s="1100"/>
    </row>
    <row r="122" spans="1:147" hidden="1">
      <c r="A122" s="1101">
        <v>4</v>
      </c>
      <c r="B122" s="1105" t="s">
        <v>1989</v>
      </c>
      <c r="C122" s="1100"/>
      <c r="D122" s="1100"/>
      <c r="E122" s="1100"/>
      <c r="F122" s="1100"/>
      <c r="G122" s="1100"/>
      <c r="H122" s="1100"/>
      <c r="I122" s="1100"/>
      <c r="J122" s="1100"/>
      <c r="K122" s="1100"/>
      <c r="L122" s="1100"/>
      <c r="M122" s="1100"/>
      <c r="N122" s="1100"/>
      <c r="O122" s="1100"/>
      <c r="P122" s="1100"/>
    </row>
    <row r="123" spans="1:147" hidden="1">
      <c r="A123" s="1101"/>
      <c r="B123" s="1105" t="s">
        <v>153</v>
      </c>
      <c r="C123" s="1100"/>
      <c r="D123" s="1100"/>
      <c r="E123" s="1100"/>
      <c r="F123" s="1100"/>
      <c r="G123" s="1100"/>
      <c r="H123" s="1100"/>
      <c r="I123" s="1100"/>
      <c r="J123" s="1100"/>
      <c r="K123" s="1100"/>
      <c r="L123" s="1100"/>
      <c r="M123" s="1100"/>
      <c r="N123" s="1100"/>
      <c r="O123" s="1100"/>
      <c r="P123" s="1100"/>
    </row>
    <row r="124" spans="1:147" hidden="1">
      <c r="A124" s="1101"/>
      <c r="B124" s="1105"/>
      <c r="C124" s="1100"/>
      <c r="D124" s="1100"/>
      <c r="E124" s="1100"/>
      <c r="F124" s="1100"/>
      <c r="G124" s="1100"/>
      <c r="H124" s="1100"/>
      <c r="I124" s="1100"/>
      <c r="J124" s="1100"/>
      <c r="K124" s="1100"/>
      <c r="L124" s="1100"/>
      <c r="M124" s="1100"/>
      <c r="N124" s="1100"/>
      <c r="O124" s="1100"/>
      <c r="P124" s="1100"/>
    </row>
    <row r="125" spans="1:147" hidden="1">
      <c r="A125" s="1106" t="s">
        <v>82</v>
      </c>
      <c r="B125" s="1105" t="s">
        <v>1470</v>
      </c>
      <c r="C125" s="1100"/>
      <c r="D125" s="1100"/>
      <c r="E125" s="1100"/>
      <c r="F125" s="1100"/>
      <c r="G125" s="1100"/>
      <c r="H125" s="1100"/>
      <c r="I125" s="1100"/>
      <c r="J125" s="1100"/>
      <c r="K125" s="1100"/>
      <c r="L125" s="1100"/>
      <c r="M125" s="1100"/>
      <c r="N125" s="1100"/>
      <c r="O125" s="1100"/>
      <c r="P125" s="1100"/>
    </row>
    <row r="126" spans="1:147" hidden="1">
      <c r="A126" s="1106">
        <v>1</v>
      </c>
      <c r="B126" s="1105" t="s">
        <v>1470</v>
      </c>
      <c r="C126" s="1100"/>
      <c r="D126" s="1100"/>
      <c r="E126" s="1100"/>
      <c r="F126" s="1100"/>
      <c r="G126" s="1100"/>
      <c r="H126" s="1100"/>
      <c r="I126" s="1100"/>
      <c r="J126" s="1100"/>
      <c r="K126" s="1100"/>
      <c r="L126" s="1100"/>
      <c r="M126" s="1100"/>
      <c r="N126" s="1100"/>
      <c r="O126" s="1100"/>
      <c r="P126" s="1100"/>
    </row>
    <row r="127" spans="1:147" hidden="1">
      <c r="A127" s="1106">
        <v>2</v>
      </c>
      <c r="B127" s="1105" t="s">
        <v>1990</v>
      </c>
      <c r="C127" s="1100"/>
      <c r="D127" s="1100"/>
      <c r="E127" s="1100"/>
      <c r="F127" s="1100"/>
      <c r="G127" s="1100"/>
      <c r="H127" s="1100"/>
      <c r="I127" s="1100"/>
      <c r="J127" s="1100"/>
      <c r="K127" s="1100"/>
      <c r="L127" s="1100"/>
      <c r="M127" s="1100"/>
      <c r="N127" s="1100"/>
      <c r="O127" s="1100"/>
      <c r="P127" s="1100"/>
    </row>
    <row r="128" spans="1:147" hidden="1">
      <c r="A128" s="1106"/>
      <c r="B128" s="1105" t="s">
        <v>1991</v>
      </c>
      <c r="C128" s="1100"/>
      <c r="D128" s="1100"/>
      <c r="E128" s="1100"/>
      <c r="F128" s="1100"/>
      <c r="G128" s="1100"/>
      <c r="H128" s="1100"/>
      <c r="I128" s="1100"/>
      <c r="J128" s="1100"/>
      <c r="K128" s="1100"/>
      <c r="L128" s="1100"/>
      <c r="M128" s="1100"/>
      <c r="N128" s="1100"/>
      <c r="O128" s="1100"/>
      <c r="P128" s="1100"/>
    </row>
    <row r="129" spans="1:16" hidden="1">
      <c r="A129" s="1101"/>
      <c r="B129" s="1105" t="s">
        <v>153</v>
      </c>
      <c r="C129" s="1100"/>
      <c r="D129" s="1100"/>
      <c r="E129" s="1100"/>
      <c r="F129" s="1100"/>
      <c r="G129" s="1100"/>
      <c r="H129" s="1100"/>
      <c r="I129" s="1100"/>
      <c r="J129" s="1100"/>
      <c r="K129" s="1100"/>
      <c r="L129" s="1100"/>
      <c r="M129" s="1100"/>
      <c r="N129" s="1100"/>
      <c r="O129" s="1100"/>
      <c r="P129" s="1100"/>
    </row>
    <row r="130" spans="1:16" hidden="1">
      <c r="A130" s="1101"/>
      <c r="B130" s="1105"/>
      <c r="C130" s="1100"/>
      <c r="D130" s="1100"/>
      <c r="E130" s="1100"/>
      <c r="F130" s="1100"/>
      <c r="G130" s="1100"/>
      <c r="H130" s="1100"/>
      <c r="I130" s="1100"/>
      <c r="J130" s="1100"/>
      <c r="K130" s="1100"/>
      <c r="L130" s="1100"/>
      <c r="M130" s="1100"/>
      <c r="N130" s="1100"/>
      <c r="O130" s="1100"/>
      <c r="P130" s="1100"/>
    </row>
    <row r="131" spans="1:16" hidden="1">
      <c r="A131" s="1101" t="s">
        <v>89</v>
      </c>
      <c r="B131" s="1105" t="s">
        <v>1471</v>
      </c>
      <c r="C131" s="1100"/>
      <c r="D131" s="1100"/>
      <c r="E131" s="1100"/>
      <c r="F131" s="1100"/>
      <c r="G131" s="1100"/>
      <c r="H131" s="1100"/>
      <c r="I131" s="1100"/>
      <c r="J131" s="1100"/>
      <c r="K131" s="1100"/>
      <c r="L131" s="1100"/>
      <c r="M131" s="1100"/>
      <c r="N131" s="1100"/>
      <c r="O131" s="1100"/>
      <c r="P131" s="1100"/>
    </row>
    <row r="132" spans="1:16" hidden="1">
      <c r="A132" s="1101">
        <v>1</v>
      </c>
      <c r="B132" s="1105" t="s">
        <v>1992</v>
      </c>
      <c r="C132" s="1100"/>
      <c r="D132" s="1100"/>
      <c r="E132" s="1100"/>
      <c r="F132" s="1100"/>
      <c r="G132" s="1100"/>
      <c r="H132" s="1100"/>
      <c r="I132" s="1100"/>
      <c r="J132" s="1100"/>
      <c r="K132" s="1100"/>
      <c r="L132" s="1100"/>
      <c r="M132" s="1100"/>
      <c r="N132" s="1100"/>
      <c r="O132" s="1100"/>
      <c r="P132" s="1100"/>
    </row>
    <row r="133" spans="1:16" hidden="1">
      <c r="A133" s="1101"/>
      <c r="B133" s="1105"/>
      <c r="C133" s="1100"/>
      <c r="D133" s="1100"/>
      <c r="E133" s="1100"/>
      <c r="F133" s="1100"/>
      <c r="G133" s="1100"/>
      <c r="H133" s="1100"/>
      <c r="I133" s="1100"/>
      <c r="J133" s="1100"/>
      <c r="K133" s="1100"/>
      <c r="L133" s="1100"/>
      <c r="M133" s="1100"/>
      <c r="N133" s="1100"/>
      <c r="O133" s="1100"/>
      <c r="P133" s="1100"/>
    </row>
    <row r="134" spans="1:16" hidden="1">
      <c r="A134" s="1101" t="s">
        <v>487</v>
      </c>
      <c r="B134" s="1105" t="s">
        <v>1331</v>
      </c>
      <c r="C134" s="1100"/>
      <c r="D134" s="1100"/>
      <c r="E134" s="1100"/>
      <c r="F134" s="1100"/>
      <c r="G134" s="1100"/>
      <c r="H134" s="1100"/>
      <c r="I134" s="1100"/>
      <c r="J134" s="1100"/>
      <c r="K134" s="1100"/>
      <c r="L134" s="1100"/>
      <c r="M134" s="1100"/>
      <c r="N134" s="1100"/>
      <c r="O134" s="1100"/>
      <c r="P134" s="1100"/>
    </row>
    <row r="135" spans="1:16" hidden="1">
      <c r="A135" s="1101"/>
      <c r="B135" s="1105" t="s">
        <v>1469</v>
      </c>
      <c r="C135" s="1100"/>
      <c r="D135" s="1100"/>
      <c r="E135" s="1100"/>
      <c r="F135" s="1100"/>
      <c r="G135" s="1100"/>
      <c r="H135" s="1100"/>
      <c r="I135" s="1100"/>
      <c r="J135" s="1100"/>
      <c r="K135" s="1100"/>
      <c r="L135" s="1100"/>
      <c r="M135" s="1100"/>
      <c r="N135" s="1100"/>
      <c r="O135" s="1100"/>
      <c r="P135" s="1100"/>
    </row>
    <row r="136" spans="1:16" hidden="1">
      <c r="A136" s="1101">
        <v>1</v>
      </c>
      <c r="B136" s="1105" t="s">
        <v>1469</v>
      </c>
      <c r="C136" s="1100"/>
      <c r="D136" s="1100"/>
      <c r="E136" s="1100"/>
      <c r="F136" s="1100"/>
      <c r="G136" s="1100"/>
      <c r="H136" s="1100"/>
      <c r="I136" s="1100"/>
      <c r="J136" s="1100"/>
      <c r="K136" s="1100"/>
      <c r="L136" s="1100"/>
      <c r="M136" s="1100"/>
      <c r="N136" s="1100"/>
      <c r="O136" s="1100"/>
      <c r="P136" s="1100"/>
    </row>
    <row r="137" spans="1:16" hidden="1">
      <c r="A137" s="1101">
        <v>2</v>
      </c>
      <c r="B137" s="1105" t="s">
        <v>1993</v>
      </c>
      <c r="C137" s="1100"/>
      <c r="D137" s="1100"/>
      <c r="E137" s="1100"/>
      <c r="F137" s="1100"/>
      <c r="G137" s="1100"/>
      <c r="H137" s="1100"/>
      <c r="I137" s="1100"/>
      <c r="J137" s="1100"/>
      <c r="K137" s="1100"/>
      <c r="L137" s="1100"/>
      <c r="M137" s="1100"/>
      <c r="N137" s="1100"/>
      <c r="O137" s="1100"/>
      <c r="P137" s="1100"/>
    </row>
    <row r="138" spans="1:16" hidden="1">
      <c r="A138" s="1101">
        <v>3</v>
      </c>
      <c r="B138" s="1105" t="s">
        <v>1346</v>
      </c>
      <c r="C138" s="1100"/>
      <c r="D138" s="1100"/>
      <c r="E138" s="1100"/>
      <c r="F138" s="1100"/>
      <c r="G138" s="1100"/>
      <c r="H138" s="1100"/>
      <c r="I138" s="1100"/>
      <c r="J138" s="1100"/>
      <c r="K138" s="1100"/>
      <c r="L138" s="1100"/>
      <c r="M138" s="1100"/>
      <c r="N138" s="1100"/>
      <c r="O138" s="1100"/>
      <c r="P138" s="1100"/>
    </row>
    <row r="139" spans="1:16" hidden="1">
      <c r="A139" s="1101">
        <v>4</v>
      </c>
      <c r="B139" s="1105" t="s">
        <v>1994</v>
      </c>
      <c r="C139" s="1100"/>
      <c r="D139" s="1100"/>
      <c r="E139" s="1100"/>
      <c r="F139" s="1100"/>
      <c r="G139" s="1100"/>
      <c r="H139" s="1100"/>
      <c r="I139" s="1100"/>
      <c r="J139" s="1100"/>
      <c r="K139" s="1100"/>
      <c r="L139" s="1100"/>
      <c r="M139" s="1100"/>
      <c r="N139" s="1100"/>
      <c r="O139" s="1100"/>
      <c r="P139" s="1100"/>
    </row>
    <row r="140" spans="1:16" hidden="1">
      <c r="A140" s="1101">
        <v>5</v>
      </c>
      <c r="B140" s="1105" t="s">
        <v>1995</v>
      </c>
      <c r="C140" s="1100"/>
      <c r="D140" s="1100"/>
      <c r="E140" s="1100"/>
      <c r="F140" s="1100"/>
      <c r="G140" s="1100"/>
      <c r="H140" s="1100"/>
      <c r="I140" s="1100"/>
      <c r="J140" s="1100"/>
      <c r="K140" s="1100"/>
      <c r="L140" s="1100"/>
      <c r="M140" s="1100"/>
      <c r="N140" s="1100"/>
      <c r="O140" s="1100"/>
      <c r="P140" s="1100"/>
    </row>
    <row r="141" spans="1:16" hidden="1">
      <c r="A141" s="1101">
        <v>6</v>
      </c>
      <c r="B141" s="1105" t="s">
        <v>1996</v>
      </c>
      <c r="C141" s="1100"/>
      <c r="D141" s="1100"/>
      <c r="E141" s="1100"/>
      <c r="F141" s="1100"/>
      <c r="G141" s="1100"/>
      <c r="H141" s="1100"/>
      <c r="I141" s="1100"/>
      <c r="J141" s="1100"/>
      <c r="K141" s="1100"/>
      <c r="L141" s="1100"/>
      <c r="M141" s="1100"/>
      <c r="N141" s="1100"/>
      <c r="O141" s="1100"/>
      <c r="P141" s="1100"/>
    </row>
    <row r="142" spans="1:16" hidden="1">
      <c r="A142" s="1101">
        <v>7</v>
      </c>
      <c r="B142" s="1105" t="s">
        <v>1997</v>
      </c>
      <c r="C142" s="1100"/>
      <c r="D142" s="1100"/>
      <c r="E142" s="1100"/>
      <c r="F142" s="1100"/>
      <c r="G142" s="1100"/>
      <c r="H142" s="1100"/>
      <c r="I142" s="1100"/>
      <c r="J142" s="1100"/>
      <c r="K142" s="1100"/>
      <c r="L142" s="1100"/>
      <c r="M142" s="1100"/>
      <c r="N142" s="1100"/>
      <c r="O142" s="1100"/>
      <c r="P142" s="1100"/>
    </row>
    <row r="143" spans="1:16" hidden="1">
      <c r="A143" s="1101">
        <v>8</v>
      </c>
      <c r="B143" s="1105" t="s">
        <v>1998</v>
      </c>
      <c r="C143" s="1100"/>
      <c r="D143" s="1100"/>
      <c r="E143" s="1100"/>
      <c r="F143" s="1100"/>
      <c r="G143" s="1100"/>
      <c r="H143" s="1100"/>
      <c r="I143" s="1100"/>
      <c r="J143" s="1100"/>
      <c r="K143" s="1100"/>
      <c r="L143" s="1100"/>
      <c r="M143" s="1100"/>
      <c r="N143" s="1100"/>
      <c r="O143" s="1100"/>
      <c r="P143" s="1100"/>
    </row>
    <row r="144" spans="1:16" hidden="1">
      <c r="A144" s="1101"/>
      <c r="B144" s="1105" t="s">
        <v>1472</v>
      </c>
      <c r="C144" s="1100"/>
      <c r="D144" s="1100"/>
      <c r="E144" s="1100"/>
      <c r="F144" s="1100"/>
      <c r="G144" s="1100"/>
      <c r="H144" s="1100"/>
      <c r="I144" s="1100"/>
      <c r="J144" s="1100"/>
      <c r="K144" s="1100"/>
      <c r="L144" s="1100"/>
      <c r="M144" s="1100"/>
      <c r="N144" s="1100"/>
      <c r="O144" s="1100"/>
      <c r="P144" s="1100"/>
    </row>
    <row r="145" spans="1:16" hidden="1">
      <c r="A145" s="1101">
        <v>1</v>
      </c>
      <c r="B145" s="1105" t="s">
        <v>1472</v>
      </c>
      <c r="C145" s="1100"/>
      <c r="D145" s="1100"/>
      <c r="E145" s="1100"/>
      <c r="F145" s="1100"/>
      <c r="G145" s="1100"/>
      <c r="H145" s="1100"/>
      <c r="I145" s="1100"/>
      <c r="J145" s="1100"/>
      <c r="K145" s="1100"/>
      <c r="L145" s="1100"/>
      <c r="M145" s="1100"/>
      <c r="N145" s="1100"/>
      <c r="O145" s="1100"/>
      <c r="P145" s="1100"/>
    </row>
    <row r="146" spans="1:16" hidden="1">
      <c r="A146" s="1101">
        <v>2</v>
      </c>
      <c r="B146" s="1105" t="s">
        <v>1333</v>
      </c>
      <c r="C146" s="1100"/>
      <c r="D146" s="1100"/>
      <c r="E146" s="1100"/>
      <c r="F146" s="1100"/>
      <c r="G146" s="1100"/>
      <c r="H146" s="1100"/>
      <c r="I146" s="1100"/>
      <c r="J146" s="1100"/>
      <c r="K146" s="1100"/>
      <c r="L146" s="1100"/>
      <c r="M146" s="1100"/>
      <c r="N146" s="1100"/>
      <c r="O146" s="1100"/>
      <c r="P146" s="1100"/>
    </row>
    <row r="147" spans="1:16" hidden="1">
      <c r="A147" s="1101">
        <v>3</v>
      </c>
      <c r="B147" s="1105" t="s">
        <v>1999</v>
      </c>
      <c r="C147" s="1100"/>
      <c r="D147" s="1100"/>
      <c r="E147" s="1100"/>
      <c r="F147" s="1100"/>
      <c r="G147" s="1100"/>
      <c r="H147" s="1100"/>
      <c r="I147" s="1100"/>
      <c r="J147" s="1100"/>
      <c r="K147" s="1100"/>
      <c r="L147" s="1100"/>
      <c r="M147" s="1100"/>
      <c r="N147" s="1100"/>
      <c r="O147" s="1100"/>
      <c r="P147" s="1100"/>
    </row>
    <row r="148" spans="1:16" hidden="1">
      <c r="A148" s="1101">
        <v>4</v>
      </c>
      <c r="B148" s="1105" t="s">
        <v>1335</v>
      </c>
      <c r="C148" s="1100"/>
      <c r="D148" s="1100"/>
      <c r="E148" s="1100"/>
      <c r="F148" s="1100"/>
      <c r="G148" s="1100"/>
      <c r="H148" s="1100"/>
      <c r="I148" s="1100"/>
      <c r="J148" s="1100"/>
      <c r="K148" s="1100"/>
      <c r="L148" s="1100"/>
      <c r="M148" s="1100"/>
      <c r="N148" s="1100"/>
      <c r="O148" s="1100"/>
      <c r="P148" s="1100"/>
    </row>
    <row r="149" spans="1:16" hidden="1">
      <c r="A149" s="1101">
        <v>5</v>
      </c>
      <c r="B149" s="1105" t="s">
        <v>1336</v>
      </c>
      <c r="C149" s="1100"/>
      <c r="D149" s="1100"/>
      <c r="E149" s="1100"/>
      <c r="F149" s="1100"/>
      <c r="G149" s="1100"/>
      <c r="H149" s="1100"/>
      <c r="I149" s="1100"/>
      <c r="J149" s="1100"/>
      <c r="K149" s="1100"/>
      <c r="L149" s="1100"/>
      <c r="M149" s="1100"/>
      <c r="N149" s="1100"/>
      <c r="O149" s="1100"/>
      <c r="P149" s="1100"/>
    </row>
    <row r="150" spans="1:16" hidden="1">
      <c r="A150" s="1101">
        <v>6</v>
      </c>
      <c r="B150" s="1105" t="s">
        <v>1337</v>
      </c>
      <c r="C150" s="1100"/>
      <c r="D150" s="1100"/>
      <c r="E150" s="1100"/>
      <c r="F150" s="1100"/>
      <c r="G150" s="1100"/>
      <c r="H150" s="1100"/>
      <c r="I150" s="1100"/>
      <c r="J150" s="1100"/>
      <c r="K150" s="1100"/>
      <c r="L150" s="1100"/>
      <c r="M150" s="1100"/>
      <c r="N150" s="1100"/>
      <c r="O150" s="1100"/>
      <c r="P150" s="1100"/>
    </row>
    <row r="151" spans="1:16" hidden="1">
      <c r="A151" s="1101">
        <v>7</v>
      </c>
      <c r="B151" s="1105" t="s">
        <v>1338</v>
      </c>
      <c r="C151" s="1100"/>
      <c r="D151" s="1100"/>
      <c r="E151" s="1100"/>
      <c r="F151" s="1100"/>
      <c r="G151" s="1100"/>
      <c r="H151" s="1100"/>
      <c r="I151" s="1100"/>
      <c r="J151" s="1100"/>
      <c r="K151" s="1100"/>
      <c r="L151" s="1100"/>
      <c r="M151" s="1100"/>
      <c r="N151" s="1100"/>
      <c r="O151" s="1100"/>
      <c r="P151" s="1100"/>
    </row>
    <row r="152" spans="1:16" hidden="1">
      <c r="A152" s="1101">
        <v>8</v>
      </c>
      <c r="B152" s="1105" t="s">
        <v>2000</v>
      </c>
      <c r="C152" s="1100"/>
      <c r="D152" s="1100"/>
      <c r="E152" s="1100"/>
      <c r="F152" s="1100"/>
      <c r="G152" s="1100"/>
      <c r="H152" s="1100"/>
      <c r="I152" s="1100"/>
      <c r="J152" s="1100"/>
      <c r="K152" s="1100"/>
      <c r="L152" s="1100"/>
      <c r="M152" s="1100"/>
      <c r="N152" s="1100"/>
      <c r="O152" s="1100"/>
      <c r="P152" s="1100"/>
    </row>
    <row r="153" spans="1:16" hidden="1">
      <c r="A153" s="1101">
        <v>9</v>
      </c>
      <c r="B153" s="1105" t="s">
        <v>2001</v>
      </c>
      <c r="C153" s="1100"/>
      <c r="D153" s="1100"/>
      <c r="E153" s="1100"/>
      <c r="F153" s="1100"/>
      <c r="G153" s="1100"/>
      <c r="H153" s="1100"/>
      <c r="I153" s="1100"/>
      <c r="J153" s="1100"/>
      <c r="K153" s="1100"/>
      <c r="L153" s="1100"/>
      <c r="M153" s="1100"/>
      <c r="N153" s="1100"/>
      <c r="O153" s="1100"/>
      <c r="P153" s="1100"/>
    </row>
    <row r="154" spans="1:16" hidden="1">
      <c r="A154" s="1101">
        <v>10</v>
      </c>
      <c r="B154" s="1105" t="s">
        <v>2002</v>
      </c>
      <c r="C154" s="1100"/>
      <c r="D154" s="1100"/>
      <c r="E154" s="1100"/>
      <c r="F154" s="1100"/>
      <c r="G154" s="1100"/>
      <c r="H154" s="1100"/>
      <c r="I154" s="1100"/>
      <c r="J154" s="1100"/>
      <c r="K154" s="1100"/>
      <c r="L154" s="1100"/>
      <c r="M154" s="1100"/>
      <c r="N154" s="1100"/>
      <c r="O154" s="1100"/>
      <c r="P154" s="1100"/>
    </row>
    <row r="155" spans="1:16" hidden="1">
      <c r="A155" s="1101">
        <v>11</v>
      </c>
      <c r="B155" s="1105" t="s">
        <v>2003</v>
      </c>
      <c r="C155" s="1100"/>
      <c r="D155" s="1100"/>
      <c r="E155" s="1100"/>
      <c r="F155" s="1100"/>
      <c r="G155" s="1100"/>
      <c r="H155" s="1100"/>
      <c r="I155" s="1100"/>
      <c r="J155" s="1100"/>
      <c r="K155" s="1100"/>
      <c r="L155" s="1100"/>
      <c r="M155" s="1100"/>
      <c r="N155" s="1100"/>
      <c r="O155" s="1100"/>
      <c r="P155" s="1100"/>
    </row>
    <row r="156" spans="1:16" hidden="1">
      <c r="A156" s="1101">
        <v>12</v>
      </c>
      <c r="B156" s="1105" t="s">
        <v>2004</v>
      </c>
      <c r="C156" s="1100"/>
      <c r="D156" s="1100"/>
      <c r="E156" s="1100"/>
      <c r="F156" s="1100"/>
      <c r="G156" s="1100"/>
      <c r="H156" s="1100"/>
      <c r="I156" s="1100"/>
      <c r="J156" s="1100"/>
      <c r="K156" s="1100"/>
      <c r="L156" s="1100"/>
      <c r="M156" s="1100"/>
      <c r="N156" s="1100"/>
      <c r="O156" s="1100"/>
      <c r="P156" s="1100"/>
    </row>
    <row r="157" spans="1:16" hidden="1">
      <c r="A157" s="1101">
        <v>13</v>
      </c>
      <c r="B157" s="1105" t="s">
        <v>2005</v>
      </c>
      <c r="C157" s="1100"/>
      <c r="D157" s="1100"/>
      <c r="E157" s="1100"/>
      <c r="F157" s="1100"/>
      <c r="G157" s="1100"/>
      <c r="H157" s="1100"/>
      <c r="I157" s="1100"/>
      <c r="J157" s="1100"/>
      <c r="K157" s="1100"/>
      <c r="L157" s="1100"/>
      <c r="M157" s="1100"/>
      <c r="N157" s="1100"/>
      <c r="O157" s="1100"/>
      <c r="P157" s="1100"/>
    </row>
    <row r="158" spans="1:16" hidden="1">
      <c r="A158" s="1101">
        <v>14</v>
      </c>
      <c r="B158" s="1105" t="s">
        <v>1342</v>
      </c>
      <c r="C158" s="1100"/>
      <c r="D158" s="1100"/>
      <c r="E158" s="1100"/>
      <c r="F158" s="1100"/>
      <c r="G158" s="1100"/>
      <c r="H158" s="1100"/>
      <c r="I158" s="1100"/>
      <c r="J158" s="1100"/>
      <c r="K158" s="1100"/>
      <c r="L158" s="1100"/>
      <c r="M158" s="1100"/>
      <c r="N158" s="1100"/>
      <c r="O158" s="1100"/>
      <c r="P158" s="1100"/>
    </row>
    <row r="159" spans="1:16" hidden="1">
      <c r="A159" s="1101">
        <v>15</v>
      </c>
      <c r="B159" s="1105" t="s">
        <v>1343</v>
      </c>
      <c r="C159" s="1100"/>
      <c r="D159" s="1100"/>
      <c r="E159" s="1100"/>
      <c r="F159" s="1100"/>
      <c r="G159" s="1100"/>
      <c r="H159" s="1100"/>
      <c r="I159" s="1100"/>
      <c r="J159" s="1100"/>
      <c r="K159" s="1100"/>
      <c r="L159" s="1100"/>
      <c r="M159" s="1100"/>
      <c r="N159" s="1100"/>
      <c r="O159" s="1100"/>
      <c r="P159" s="1100"/>
    </row>
    <row r="160" spans="1:16" hidden="1">
      <c r="A160" s="1101">
        <v>16</v>
      </c>
      <c r="B160" s="1105" t="s">
        <v>2006</v>
      </c>
      <c r="C160" s="1100"/>
      <c r="D160" s="1100"/>
      <c r="E160" s="1100"/>
      <c r="F160" s="1100"/>
      <c r="G160" s="1100"/>
      <c r="H160" s="1100"/>
      <c r="I160" s="1100"/>
      <c r="J160" s="1100"/>
      <c r="K160" s="1100"/>
      <c r="L160" s="1100"/>
      <c r="M160" s="1100"/>
      <c r="N160" s="1100"/>
      <c r="O160" s="1100"/>
      <c r="P160" s="1100"/>
    </row>
    <row r="161" spans="1:16" hidden="1">
      <c r="A161" s="1101">
        <v>17</v>
      </c>
      <c r="B161" s="1105" t="s">
        <v>2007</v>
      </c>
      <c r="C161" s="1100"/>
      <c r="D161" s="1100"/>
      <c r="E161" s="1100"/>
      <c r="F161" s="1100"/>
      <c r="G161" s="1100"/>
      <c r="H161" s="1100"/>
      <c r="I161" s="1100"/>
      <c r="J161" s="1100"/>
      <c r="K161" s="1100"/>
      <c r="L161" s="1100"/>
      <c r="M161" s="1100"/>
      <c r="N161" s="1100"/>
      <c r="O161" s="1100"/>
      <c r="P161" s="1100"/>
    </row>
    <row r="162" spans="1:16" hidden="1">
      <c r="A162" s="1101"/>
      <c r="B162" s="1105" t="s">
        <v>153</v>
      </c>
      <c r="C162" s="1100"/>
      <c r="D162" s="1100"/>
      <c r="E162" s="1100"/>
      <c r="F162" s="1100"/>
      <c r="G162" s="1100"/>
      <c r="H162" s="1100"/>
      <c r="I162" s="1100"/>
      <c r="J162" s="1100"/>
      <c r="K162" s="1100"/>
      <c r="L162" s="1100"/>
      <c r="M162" s="1100"/>
      <c r="N162" s="1100"/>
      <c r="O162" s="1100"/>
      <c r="P162" s="1100"/>
    </row>
    <row r="163" spans="1:16" hidden="1">
      <c r="A163" s="1101"/>
      <c r="B163" s="1105"/>
      <c r="C163" s="1100"/>
      <c r="D163" s="1100"/>
      <c r="E163" s="1100"/>
      <c r="F163" s="1100"/>
      <c r="G163" s="1100"/>
      <c r="H163" s="1100"/>
      <c r="I163" s="1100"/>
      <c r="J163" s="1100"/>
      <c r="K163" s="1100"/>
      <c r="L163" s="1100"/>
      <c r="M163" s="1100"/>
      <c r="N163" s="1100"/>
      <c r="O163" s="1100"/>
      <c r="P163" s="1100"/>
    </row>
    <row r="164" spans="1:16" hidden="1">
      <c r="A164" s="1101"/>
      <c r="B164" s="1107" t="s">
        <v>143</v>
      </c>
      <c r="C164" s="1100"/>
      <c r="D164" s="1100"/>
      <c r="E164" s="1100"/>
      <c r="F164" s="1100"/>
      <c r="G164" s="1100"/>
      <c r="H164" s="1100"/>
      <c r="I164" s="1100"/>
      <c r="J164" s="1100"/>
      <c r="K164" s="1100"/>
      <c r="L164" s="1100"/>
      <c r="M164" s="1100"/>
      <c r="N164" s="1100"/>
      <c r="O164" s="1100"/>
      <c r="P164" s="1100"/>
    </row>
    <row r="165" spans="1:16" hidden="1">
      <c r="A165" s="1101"/>
      <c r="B165" s="1105"/>
      <c r="C165" s="1100"/>
      <c r="D165" s="1100"/>
      <c r="E165" s="1100"/>
      <c r="F165" s="1100"/>
      <c r="G165" s="1100"/>
      <c r="H165" s="1100"/>
      <c r="I165" s="1100"/>
      <c r="J165" s="1100"/>
      <c r="K165" s="1100"/>
      <c r="L165" s="1100"/>
      <c r="M165" s="1100"/>
      <c r="N165" s="1100"/>
      <c r="O165" s="1100"/>
      <c r="P165" s="1100"/>
    </row>
    <row r="166" spans="1:16">
      <c r="A166" s="1101" t="s">
        <v>33</v>
      </c>
      <c r="B166" s="1105" t="s">
        <v>1228</v>
      </c>
      <c r="C166" s="1100"/>
      <c r="D166" s="1100"/>
      <c r="E166" s="1100"/>
      <c r="F166" s="1100"/>
      <c r="G166" s="1100"/>
      <c r="H166" s="1100"/>
      <c r="I166" s="1100"/>
      <c r="J166" s="1100"/>
      <c r="K166" s="1100"/>
      <c r="L166" s="1100"/>
      <c r="M166" s="1100"/>
      <c r="N166" s="1100"/>
      <c r="O166" s="1100"/>
      <c r="P166" s="1100"/>
    </row>
    <row r="167" spans="1:16">
      <c r="A167" s="1101"/>
      <c r="B167" s="1105"/>
      <c r="C167" s="1100"/>
      <c r="D167" s="1100"/>
      <c r="E167" s="1100"/>
      <c r="F167" s="1100"/>
      <c r="G167" s="1100"/>
      <c r="H167" s="1100"/>
      <c r="I167" s="1100"/>
      <c r="J167" s="1100"/>
      <c r="K167" s="1100"/>
      <c r="L167" s="1100"/>
      <c r="M167" s="1100"/>
      <c r="N167" s="1100"/>
      <c r="O167" s="1100"/>
      <c r="P167" s="1100"/>
    </row>
    <row r="168" spans="1:16">
      <c r="A168" s="1106" t="s">
        <v>39</v>
      </c>
      <c r="B168" s="1107" t="s">
        <v>1200</v>
      </c>
      <c r="C168" s="1100"/>
      <c r="D168" s="1100"/>
      <c r="E168" s="1100"/>
      <c r="F168" s="1100"/>
      <c r="G168" s="1100"/>
      <c r="H168" s="1100"/>
      <c r="I168" s="1100"/>
      <c r="J168" s="1100"/>
      <c r="K168" s="1100"/>
      <c r="L168" s="1100"/>
      <c r="M168" s="1100"/>
      <c r="N168" s="1100"/>
      <c r="O168" s="1100"/>
      <c r="P168" s="1100"/>
    </row>
    <row r="169" spans="1:16">
      <c r="A169" s="1101" t="s">
        <v>15</v>
      </c>
      <c r="B169" s="1116" t="s">
        <v>2073</v>
      </c>
      <c r="C169" s="1100">
        <f>660*3</f>
        <v>1980</v>
      </c>
      <c r="D169" s="1100" t="s">
        <v>2074</v>
      </c>
      <c r="E169" s="1117"/>
      <c r="F169" s="1100" t="s">
        <v>2075</v>
      </c>
      <c r="G169" s="1118"/>
      <c r="H169" s="1119">
        <f>5/1980</f>
        <v>2.5252525252525255E-3</v>
      </c>
      <c r="I169" s="1120" t="s">
        <v>2076</v>
      </c>
      <c r="J169" s="1121">
        <f>+'[3]Summary '!D82</f>
        <v>20.821720000000003</v>
      </c>
      <c r="K169" s="1100"/>
      <c r="L169" s="1121">
        <f>+'[3]Summary '!D98</f>
        <v>13.65904832</v>
      </c>
      <c r="M169" s="1100"/>
      <c r="N169" s="1121">
        <f>+'[3]Summary '!D114-'[3]Summary '!D106+'[3]Summary '!D122</f>
        <v>-4.0544952400000028E-2</v>
      </c>
      <c r="O169" s="1122">
        <f>SUM(K169:N169)</f>
        <v>13.618503367600001</v>
      </c>
      <c r="P169" s="1122">
        <f>+O169/J169*10</f>
        <v>6.5405275681355812</v>
      </c>
    </row>
    <row r="170" spans="1:16">
      <c r="A170" s="1101" t="s">
        <v>16</v>
      </c>
      <c r="B170" s="1116" t="s">
        <v>2108</v>
      </c>
      <c r="C170" s="1123">
        <v>7.5</v>
      </c>
      <c r="D170" s="1100" t="s">
        <v>2074</v>
      </c>
      <c r="E170" s="1100"/>
      <c r="F170" s="1100" t="s">
        <v>2075</v>
      </c>
      <c r="G170" s="1118"/>
      <c r="H170" s="1119">
        <f>+I170/C170</f>
        <v>0.66666666666666663</v>
      </c>
      <c r="I170" s="1124">
        <v>5</v>
      </c>
      <c r="J170" s="1121">
        <f>+'[3]Summary '!D83</f>
        <v>14.428750000000001</v>
      </c>
      <c r="K170" s="1100"/>
      <c r="L170" s="1121">
        <f>+'[3]Summary '!D99</f>
        <v>7.8636687500000004</v>
      </c>
      <c r="M170" s="1100"/>
      <c r="N170" s="1121">
        <f>+'[3]Summary '!D115-'[3]Summary '!D107+'[3]Summary '!D123</f>
        <v>-4.1938800000000005E-2</v>
      </c>
      <c r="O170" s="1122">
        <f t="shared" ref="O170" si="0">SUM(K170:N170)</f>
        <v>7.8217299500000008</v>
      </c>
      <c r="P170" s="1122">
        <f>+O170/J170*10</f>
        <v>5.4209338646798937</v>
      </c>
    </row>
    <row r="171" spans="1:16">
      <c r="A171" s="1101"/>
      <c r="B171" s="1116"/>
      <c r="C171" s="1100"/>
      <c r="D171" s="1100"/>
      <c r="E171" s="1100"/>
      <c r="F171" s="1100"/>
      <c r="G171" s="1100"/>
      <c r="H171" s="1100"/>
      <c r="I171" s="1100"/>
      <c r="J171" s="1100"/>
      <c r="K171" s="1100"/>
      <c r="L171" s="1100"/>
      <c r="M171" s="1100"/>
      <c r="N171" s="1100"/>
      <c r="O171" s="1100"/>
      <c r="P171" s="1100"/>
    </row>
    <row r="172" spans="1:16">
      <c r="A172" s="1101"/>
      <c r="B172" s="1125" t="s">
        <v>1473</v>
      </c>
      <c r="C172" s="1126"/>
      <c r="D172" s="1126"/>
      <c r="E172" s="1126"/>
      <c r="F172" s="1126"/>
      <c r="G172" s="1126"/>
      <c r="H172" s="1126"/>
      <c r="I172" s="1127" t="s">
        <v>2120</v>
      </c>
      <c r="J172" s="1128">
        <f>SUM(J169:J171)</f>
        <v>35.250470000000007</v>
      </c>
      <c r="K172" s="1126"/>
      <c r="L172" s="1128">
        <f>SUM(L169:L171)</f>
        <v>21.522717069999999</v>
      </c>
      <c r="M172" s="1126"/>
      <c r="N172" s="1128">
        <f>SUM(N169:N171)</f>
        <v>-8.2483752400000027E-2</v>
      </c>
      <c r="O172" s="1128">
        <f>SUM(O169:O171)</f>
        <v>21.440233317600001</v>
      </c>
      <c r="P172" s="1111">
        <f>+O172/J172*10</f>
        <v>6.0822545962082195</v>
      </c>
    </row>
    <row r="173" spans="1:16" hidden="1">
      <c r="A173" s="1101"/>
      <c r="B173" s="1105"/>
      <c r="C173" s="1100"/>
      <c r="D173" s="1100"/>
      <c r="E173" s="1100"/>
      <c r="F173" s="1100"/>
      <c r="G173" s="1100"/>
      <c r="H173" s="1100"/>
      <c r="I173" s="1100"/>
      <c r="J173" s="1100"/>
      <c r="K173" s="1100"/>
      <c r="L173" s="1100"/>
      <c r="M173" s="1100"/>
      <c r="N173" s="1100"/>
      <c r="O173" s="1100"/>
      <c r="P173" s="1100"/>
    </row>
    <row r="174" spans="1:16" hidden="1">
      <c r="A174" s="1101" t="s">
        <v>40</v>
      </c>
      <c r="B174" s="1105" t="s">
        <v>1474</v>
      </c>
      <c r="C174" s="1100"/>
      <c r="D174" s="1100"/>
      <c r="E174" s="1100"/>
      <c r="F174" s="1100"/>
      <c r="G174" s="1100"/>
      <c r="H174" s="1100"/>
      <c r="I174" s="1100"/>
      <c r="J174" s="1100"/>
      <c r="K174" s="1100"/>
      <c r="L174" s="1100"/>
      <c r="M174" s="1100"/>
      <c r="N174" s="1100"/>
      <c r="O174" s="1100"/>
      <c r="P174" s="1100"/>
    </row>
    <row r="175" spans="1:16" hidden="1">
      <c r="A175" s="1101"/>
      <c r="B175" s="1129" t="s">
        <v>1475</v>
      </c>
      <c r="C175" s="1100"/>
      <c r="D175" s="1100"/>
      <c r="E175" s="1100"/>
      <c r="F175" s="1100"/>
      <c r="G175" s="1100"/>
      <c r="H175" s="1100"/>
      <c r="I175" s="1100"/>
      <c r="J175" s="1100"/>
      <c r="K175" s="1100"/>
      <c r="L175" s="1100"/>
      <c r="M175" s="1100"/>
      <c r="N175" s="1100"/>
      <c r="O175" s="1100"/>
      <c r="P175" s="1100"/>
    </row>
    <row r="176" spans="1:16" hidden="1">
      <c r="A176" s="1101"/>
      <c r="B176" s="1105" t="s">
        <v>1476</v>
      </c>
      <c r="C176" s="1100"/>
      <c r="D176" s="1100"/>
      <c r="E176" s="1100"/>
      <c r="F176" s="1100"/>
      <c r="G176" s="1100"/>
      <c r="H176" s="1100"/>
      <c r="I176" s="1100"/>
      <c r="J176" s="1100"/>
      <c r="K176" s="1100"/>
      <c r="L176" s="1100"/>
      <c r="M176" s="1100"/>
      <c r="N176" s="1100"/>
      <c r="O176" s="1100"/>
      <c r="P176" s="1100"/>
    </row>
    <row r="177" spans="1:16" hidden="1">
      <c r="A177" s="1101"/>
      <c r="B177" s="1107" t="s">
        <v>1477</v>
      </c>
      <c r="C177" s="1100"/>
      <c r="D177" s="1100"/>
      <c r="E177" s="1100"/>
      <c r="F177" s="1100"/>
      <c r="G177" s="1100"/>
      <c r="H177" s="1100"/>
      <c r="I177" s="1100"/>
      <c r="J177" s="1100"/>
      <c r="K177" s="1100"/>
      <c r="L177" s="1100"/>
      <c r="M177" s="1100"/>
      <c r="N177" s="1100"/>
      <c r="O177" s="1100"/>
      <c r="P177" s="1100"/>
    </row>
    <row r="178" spans="1:16" hidden="1">
      <c r="A178" s="1101"/>
      <c r="B178" s="1105"/>
      <c r="C178" s="1100"/>
      <c r="D178" s="1100"/>
      <c r="E178" s="1100"/>
      <c r="F178" s="1100"/>
      <c r="G178" s="1100"/>
      <c r="H178" s="1100"/>
      <c r="I178" s="1100"/>
      <c r="J178" s="1100"/>
      <c r="K178" s="1100"/>
      <c r="L178" s="1100"/>
      <c r="M178" s="1100"/>
      <c r="N178" s="1100"/>
      <c r="O178" s="1100"/>
      <c r="P178" s="1100"/>
    </row>
    <row r="179" spans="1:16" hidden="1">
      <c r="A179" s="1101" t="s">
        <v>41</v>
      </c>
      <c r="B179" s="1105" t="s">
        <v>1356</v>
      </c>
      <c r="C179" s="1100"/>
      <c r="D179" s="1100"/>
      <c r="E179" s="1100"/>
      <c r="F179" s="1100"/>
      <c r="G179" s="1100"/>
      <c r="H179" s="1100"/>
      <c r="I179" s="1100"/>
      <c r="J179" s="1100"/>
      <c r="K179" s="1100"/>
      <c r="L179" s="1100"/>
      <c r="M179" s="1100"/>
      <c r="N179" s="1100"/>
      <c r="O179" s="1100"/>
      <c r="P179" s="1100"/>
    </row>
    <row r="180" spans="1:16" hidden="1">
      <c r="A180" s="1101"/>
      <c r="B180" s="1105"/>
      <c r="C180" s="1100"/>
      <c r="D180" s="1100"/>
      <c r="E180" s="1100"/>
      <c r="F180" s="1100"/>
      <c r="G180" s="1100"/>
      <c r="H180" s="1100"/>
      <c r="I180" s="1100"/>
      <c r="J180" s="1100"/>
      <c r="K180" s="1100"/>
      <c r="L180" s="1100"/>
      <c r="M180" s="1100"/>
      <c r="N180" s="1100"/>
      <c r="O180" s="1100"/>
      <c r="P180" s="1100"/>
    </row>
    <row r="181" spans="1:16" hidden="1">
      <c r="A181" s="1101">
        <v>1</v>
      </c>
      <c r="B181" s="1105" t="s">
        <v>1478</v>
      </c>
      <c r="C181" s="1100"/>
      <c r="D181" s="1100"/>
      <c r="E181" s="1100"/>
      <c r="F181" s="1100"/>
      <c r="G181" s="1100"/>
      <c r="H181" s="1100"/>
      <c r="I181" s="1100"/>
      <c r="J181" s="1100"/>
      <c r="K181" s="1100"/>
      <c r="L181" s="1100"/>
      <c r="M181" s="1100"/>
      <c r="N181" s="1100"/>
      <c r="O181" s="1100"/>
      <c r="P181" s="1100"/>
    </row>
    <row r="182" spans="1:16" hidden="1">
      <c r="A182" s="1101">
        <v>2</v>
      </c>
      <c r="B182" s="1105" t="s">
        <v>1479</v>
      </c>
      <c r="C182" s="1100"/>
      <c r="D182" s="1100"/>
      <c r="E182" s="1100"/>
      <c r="F182" s="1100"/>
      <c r="G182" s="1100"/>
      <c r="H182" s="1100"/>
      <c r="I182" s="1100"/>
      <c r="J182" s="1100"/>
      <c r="K182" s="1100"/>
      <c r="L182" s="1100"/>
      <c r="M182" s="1100"/>
      <c r="N182" s="1100"/>
      <c r="O182" s="1100"/>
      <c r="P182" s="1100"/>
    </row>
    <row r="183" spans="1:16" hidden="1">
      <c r="A183" s="1101">
        <v>3</v>
      </c>
      <c r="B183" s="1105"/>
      <c r="C183" s="1100"/>
      <c r="D183" s="1100"/>
      <c r="E183" s="1100"/>
      <c r="F183" s="1100"/>
      <c r="G183" s="1100"/>
      <c r="H183" s="1100"/>
      <c r="I183" s="1100"/>
      <c r="J183" s="1100"/>
      <c r="K183" s="1100"/>
      <c r="L183" s="1100"/>
      <c r="M183" s="1100"/>
      <c r="N183" s="1100"/>
      <c r="O183" s="1100"/>
      <c r="P183" s="1100"/>
    </row>
    <row r="184" spans="1:16" hidden="1">
      <c r="A184" s="1101">
        <v>4</v>
      </c>
      <c r="B184" s="1105"/>
      <c r="C184" s="1100"/>
      <c r="D184" s="1100"/>
      <c r="E184" s="1100"/>
      <c r="F184" s="1100"/>
      <c r="G184" s="1100"/>
      <c r="H184" s="1100"/>
      <c r="I184" s="1100"/>
      <c r="J184" s="1100"/>
      <c r="K184" s="1100"/>
      <c r="L184" s="1100"/>
      <c r="M184" s="1100"/>
      <c r="N184" s="1100"/>
      <c r="O184" s="1100"/>
      <c r="P184" s="1100"/>
    </row>
    <row r="185" spans="1:16" hidden="1">
      <c r="A185" s="1101">
        <v>5</v>
      </c>
      <c r="B185" s="1105"/>
      <c r="C185" s="1100"/>
      <c r="D185" s="1100"/>
      <c r="E185" s="1100"/>
      <c r="F185" s="1100"/>
      <c r="G185" s="1100"/>
      <c r="H185" s="1100"/>
      <c r="I185" s="1100"/>
      <c r="J185" s="1100"/>
      <c r="K185" s="1100"/>
      <c r="L185" s="1100"/>
      <c r="M185" s="1100"/>
      <c r="N185" s="1100"/>
      <c r="O185" s="1100"/>
      <c r="P185" s="1100"/>
    </row>
    <row r="186" spans="1:16" hidden="1">
      <c r="A186" s="1101">
        <v>6</v>
      </c>
      <c r="B186" s="1105"/>
      <c r="C186" s="1100"/>
      <c r="D186" s="1100"/>
      <c r="E186" s="1100"/>
      <c r="F186" s="1100"/>
      <c r="G186" s="1100"/>
      <c r="H186" s="1100"/>
      <c r="I186" s="1100"/>
      <c r="J186" s="1100"/>
      <c r="K186" s="1100"/>
      <c r="L186" s="1100"/>
      <c r="M186" s="1100"/>
      <c r="N186" s="1100"/>
      <c r="O186" s="1100"/>
      <c r="P186" s="1100"/>
    </row>
    <row r="187" spans="1:16" hidden="1">
      <c r="A187" s="1101">
        <v>7</v>
      </c>
      <c r="B187" s="1105"/>
      <c r="C187" s="1100"/>
      <c r="D187" s="1100"/>
      <c r="E187" s="1100"/>
      <c r="F187" s="1100"/>
      <c r="G187" s="1100"/>
      <c r="H187" s="1100"/>
      <c r="I187" s="1100"/>
      <c r="J187" s="1100"/>
      <c r="K187" s="1100"/>
      <c r="L187" s="1100"/>
      <c r="M187" s="1100"/>
      <c r="N187" s="1100"/>
      <c r="O187" s="1100"/>
      <c r="P187" s="1100"/>
    </row>
    <row r="188" spans="1:16" hidden="1">
      <c r="A188" s="1101"/>
      <c r="B188" s="1105"/>
      <c r="C188" s="1100"/>
      <c r="D188" s="1100"/>
      <c r="E188" s="1100"/>
      <c r="F188" s="1100"/>
      <c r="G188" s="1100"/>
      <c r="H188" s="1100"/>
      <c r="I188" s="1100"/>
      <c r="J188" s="1100"/>
      <c r="K188" s="1100"/>
      <c r="L188" s="1100"/>
      <c r="M188" s="1100"/>
      <c r="N188" s="1100"/>
      <c r="O188" s="1100"/>
      <c r="P188" s="1100"/>
    </row>
    <row r="189" spans="1:16" hidden="1">
      <c r="A189" s="1101"/>
      <c r="B189" s="1105"/>
      <c r="C189" s="1100"/>
      <c r="D189" s="1100"/>
      <c r="E189" s="1100"/>
      <c r="F189" s="1100"/>
      <c r="G189" s="1100"/>
      <c r="H189" s="1100"/>
      <c r="I189" s="1100"/>
      <c r="J189" s="1100"/>
      <c r="K189" s="1100"/>
      <c r="L189" s="1100"/>
      <c r="M189" s="1100"/>
      <c r="N189" s="1100"/>
      <c r="O189" s="1100"/>
      <c r="P189" s="1100"/>
    </row>
    <row r="190" spans="1:16" hidden="1">
      <c r="A190" s="1101" t="s">
        <v>90</v>
      </c>
      <c r="B190" s="1105" t="s">
        <v>1241</v>
      </c>
      <c r="C190" s="1100"/>
      <c r="D190" s="1100"/>
      <c r="E190" s="1100"/>
      <c r="F190" s="1100"/>
      <c r="G190" s="1100"/>
      <c r="H190" s="1100"/>
      <c r="I190" s="1100"/>
      <c r="J190" s="1100"/>
      <c r="K190" s="1100"/>
      <c r="L190" s="1100"/>
      <c r="M190" s="1100"/>
      <c r="N190" s="1100"/>
      <c r="O190" s="1100"/>
      <c r="P190" s="1100"/>
    </row>
    <row r="191" spans="1:16" hidden="1">
      <c r="A191" s="1101">
        <v>1</v>
      </c>
      <c r="B191" s="1105" t="s">
        <v>1480</v>
      </c>
      <c r="C191" s="1100"/>
      <c r="D191" s="1100"/>
      <c r="E191" s="1100"/>
      <c r="F191" s="1100"/>
      <c r="G191" s="1100"/>
      <c r="H191" s="1100"/>
      <c r="I191" s="1100"/>
      <c r="J191" s="1100"/>
      <c r="K191" s="1100"/>
      <c r="L191" s="1100"/>
      <c r="M191" s="1100"/>
      <c r="N191" s="1100"/>
      <c r="O191" s="1100"/>
      <c r="P191" s="1100"/>
    </row>
    <row r="192" spans="1:16" hidden="1">
      <c r="A192" s="1101">
        <v>2</v>
      </c>
      <c r="B192" s="1105" t="s">
        <v>1481</v>
      </c>
      <c r="C192" s="1100"/>
      <c r="D192" s="1100"/>
      <c r="E192" s="1100"/>
      <c r="F192" s="1100"/>
      <c r="G192" s="1100"/>
      <c r="H192" s="1100"/>
      <c r="I192" s="1100"/>
      <c r="J192" s="1100"/>
      <c r="K192" s="1100"/>
      <c r="L192" s="1100"/>
      <c r="M192" s="1100"/>
      <c r="N192" s="1100"/>
      <c r="O192" s="1100"/>
      <c r="P192" s="1100"/>
    </row>
    <row r="193" spans="1:16" hidden="1">
      <c r="A193" s="1101">
        <v>3</v>
      </c>
      <c r="B193" s="1105" t="s">
        <v>1482</v>
      </c>
      <c r="C193" s="1100"/>
      <c r="D193" s="1100"/>
      <c r="E193" s="1100"/>
      <c r="F193" s="1100"/>
      <c r="G193" s="1100"/>
      <c r="H193" s="1100"/>
      <c r="I193" s="1100"/>
      <c r="J193" s="1100"/>
      <c r="K193" s="1100"/>
      <c r="L193" s="1100"/>
      <c r="M193" s="1100"/>
      <c r="N193" s="1100"/>
      <c r="O193" s="1100"/>
      <c r="P193" s="1100"/>
    </row>
    <row r="194" spans="1:16" hidden="1">
      <c r="A194" s="1101">
        <v>4</v>
      </c>
      <c r="B194" s="1105" t="s">
        <v>1483</v>
      </c>
      <c r="C194" s="1100"/>
      <c r="D194" s="1100"/>
      <c r="E194" s="1100"/>
      <c r="F194" s="1100"/>
      <c r="G194" s="1100"/>
      <c r="H194" s="1100"/>
      <c r="I194" s="1100"/>
      <c r="J194" s="1100"/>
      <c r="K194" s="1100"/>
      <c r="L194" s="1100"/>
      <c r="M194" s="1100"/>
      <c r="N194" s="1100"/>
      <c r="O194" s="1100"/>
      <c r="P194" s="1100"/>
    </row>
    <row r="195" spans="1:16" hidden="1">
      <c r="A195" s="1101">
        <v>5</v>
      </c>
      <c r="B195" s="1105" t="s">
        <v>1484</v>
      </c>
      <c r="C195" s="1100"/>
      <c r="D195" s="1100"/>
      <c r="E195" s="1100"/>
      <c r="F195" s="1100"/>
      <c r="G195" s="1100"/>
      <c r="H195" s="1100"/>
      <c r="I195" s="1100"/>
      <c r="J195" s="1100"/>
      <c r="K195" s="1100"/>
      <c r="L195" s="1100"/>
      <c r="M195" s="1100"/>
      <c r="N195" s="1100"/>
      <c r="O195" s="1100"/>
      <c r="P195" s="1100"/>
    </row>
    <row r="196" spans="1:16" hidden="1">
      <c r="A196" s="1101">
        <v>6</v>
      </c>
      <c r="B196" s="1105" t="s">
        <v>1485</v>
      </c>
      <c r="C196" s="1100"/>
      <c r="D196" s="1100"/>
      <c r="E196" s="1100"/>
      <c r="F196" s="1100"/>
      <c r="G196" s="1100"/>
      <c r="H196" s="1100"/>
      <c r="I196" s="1100"/>
      <c r="J196" s="1100"/>
      <c r="K196" s="1100"/>
      <c r="L196" s="1100"/>
      <c r="M196" s="1100"/>
      <c r="N196" s="1100"/>
      <c r="O196" s="1100"/>
      <c r="P196" s="1100"/>
    </row>
    <row r="197" spans="1:16" hidden="1">
      <c r="A197" s="1101">
        <v>7</v>
      </c>
      <c r="B197" s="1105" t="s">
        <v>1486</v>
      </c>
      <c r="C197" s="1100"/>
      <c r="D197" s="1100"/>
      <c r="E197" s="1100"/>
      <c r="F197" s="1100"/>
      <c r="G197" s="1100"/>
      <c r="H197" s="1100"/>
      <c r="I197" s="1100"/>
      <c r="J197" s="1100"/>
      <c r="K197" s="1100"/>
      <c r="L197" s="1100"/>
      <c r="M197" s="1100"/>
      <c r="N197" s="1100"/>
      <c r="O197" s="1100"/>
      <c r="P197" s="1100"/>
    </row>
    <row r="198" spans="1:16" hidden="1">
      <c r="A198" s="1106"/>
      <c r="B198" s="1107" t="s">
        <v>1487</v>
      </c>
      <c r="C198" s="1100"/>
      <c r="D198" s="1100"/>
      <c r="E198" s="1100"/>
      <c r="F198" s="1100"/>
      <c r="G198" s="1100"/>
      <c r="H198" s="1100"/>
      <c r="I198" s="1100"/>
      <c r="J198" s="1100"/>
      <c r="K198" s="1100"/>
      <c r="L198" s="1100"/>
      <c r="M198" s="1100"/>
      <c r="N198" s="1100"/>
      <c r="O198" s="1100"/>
      <c r="P198" s="1100"/>
    </row>
    <row r="199" spans="1:16" hidden="1">
      <c r="A199" s="1101"/>
      <c r="B199" s="1105"/>
      <c r="C199" s="1100"/>
      <c r="D199" s="1100"/>
      <c r="E199" s="1100"/>
      <c r="F199" s="1100"/>
      <c r="G199" s="1100"/>
      <c r="H199" s="1100"/>
      <c r="I199" s="1100"/>
      <c r="J199" s="1100"/>
      <c r="K199" s="1100"/>
      <c r="L199" s="1100"/>
      <c r="M199" s="1100"/>
      <c r="N199" s="1100"/>
      <c r="O199" s="1100"/>
      <c r="P199" s="1100"/>
    </row>
    <row r="200" spans="1:16" hidden="1">
      <c r="A200" s="1101" t="s">
        <v>91</v>
      </c>
      <c r="B200" s="1105" t="s">
        <v>1500</v>
      </c>
      <c r="C200" s="1100"/>
      <c r="D200" s="1100"/>
      <c r="E200" s="1100"/>
      <c r="F200" s="1100"/>
      <c r="G200" s="1100"/>
      <c r="H200" s="1100"/>
      <c r="I200" s="1100"/>
      <c r="J200" s="1100"/>
      <c r="K200" s="1100"/>
      <c r="L200" s="1100"/>
      <c r="M200" s="1100"/>
      <c r="N200" s="1100"/>
      <c r="O200" s="1100"/>
      <c r="P200" s="1100"/>
    </row>
    <row r="201" spans="1:16" hidden="1">
      <c r="A201" s="1101"/>
      <c r="B201" s="1105" t="s">
        <v>1500</v>
      </c>
      <c r="C201" s="1100"/>
      <c r="D201" s="1100"/>
      <c r="E201" s="1100"/>
      <c r="F201" s="1100"/>
      <c r="G201" s="1100"/>
      <c r="H201" s="1100"/>
      <c r="I201" s="1100"/>
      <c r="J201" s="1100"/>
      <c r="K201" s="1100"/>
      <c r="L201" s="1100"/>
      <c r="M201" s="1100"/>
      <c r="N201" s="1100"/>
      <c r="O201" s="1100"/>
      <c r="P201" s="1100"/>
    </row>
    <row r="202" spans="1:16" hidden="1">
      <c r="A202" s="1101"/>
      <c r="B202" s="1105" t="s">
        <v>2008</v>
      </c>
      <c r="C202" s="1100"/>
      <c r="D202" s="1100"/>
      <c r="E202" s="1100"/>
      <c r="F202" s="1100"/>
      <c r="G202" s="1100"/>
      <c r="H202" s="1100"/>
      <c r="I202" s="1100"/>
      <c r="J202" s="1100"/>
      <c r="K202" s="1100"/>
      <c r="L202" s="1100"/>
      <c r="M202" s="1100"/>
      <c r="N202" s="1100"/>
      <c r="O202" s="1100"/>
      <c r="P202" s="1100"/>
    </row>
    <row r="203" spans="1:16" hidden="1">
      <c r="A203" s="1101"/>
      <c r="B203" s="1105" t="s">
        <v>2009</v>
      </c>
      <c r="C203" s="1100"/>
      <c r="D203" s="1100"/>
      <c r="E203" s="1100"/>
      <c r="F203" s="1100"/>
      <c r="G203" s="1100"/>
      <c r="H203" s="1100"/>
      <c r="I203" s="1100"/>
      <c r="J203" s="1100"/>
      <c r="K203" s="1100"/>
      <c r="L203" s="1100"/>
      <c r="M203" s="1100"/>
      <c r="N203" s="1100"/>
      <c r="O203" s="1100"/>
      <c r="P203" s="1100"/>
    </row>
    <row r="204" spans="1:16" hidden="1">
      <c r="A204" s="1101"/>
      <c r="B204" s="1105"/>
      <c r="C204" s="1100"/>
      <c r="D204" s="1100"/>
      <c r="E204" s="1100"/>
      <c r="F204" s="1100"/>
      <c r="G204" s="1100"/>
      <c r="H204" s="1100"/>
      <c r="I204" s="1100"/>
      <c r="J204" s="1100"/>
      <c r="K204" s="1100"/>
      <c r="L204" s="1100"/>
      <c r="M204" s="1100"/>
      <c r="N204" s="1100"/>
      <c r="O204" s="1100"/>
      <c r="P204" s="1100"/>
    </row>
    <row r="205" spans="1:16" hidden="1">
      <c r="A205" s="1101" t="s">
        <v>92</v>
      </c>
      <c r="B205" s="1105" t="s">
        <v>1488</v>
      </c>
      <c r="C205" s="1100"/>
      <c r="D205" s="1100"/>
      <c r="E205" s="1100"/>
      <c r="F205" s="1100"/>
      <c r="G205" s="1100"/>
      <c r="H205" s="1100"/>
      <c r="I205" s="1100"/>
      <c r="J205" s="1100"/>
      <c r="K205" s="1100"/>
      <c r="L205" s="1100"/>
      <c r="M205" s="1100"/>
      <c r="N205" s="1100"/>
      <c r="O205" s="1100"/>
      <c r="P205" s="1100"/>
    </row>
    <row r="206" spans="1:16" hidden="1">
      <c r="A206" s="1101" t="s">
        <v>155</v>
      </c>
      <c r="B206" s="1105" t="s">
        <v>1201</v>
      </c>
      <c r="C206" s="1100"/>
      <c r="D206" s="1100"/>
      <c r="E206" s="1100"/>
      <c r="F206" s="1100"/>
      <c r="G206" s="1100"/>
      <c r="H206" s="1100"/>
      <c r="I206" s="1100"/>
      <c r="J206" s="1100"/>
      <c r="K206" s="1100"/>
      <c r="L206" s="1100"/>
      <c r="M206" s="1100"/>
      <c r="N206" s="1100"/>
      <c r="O206" s="1100"/>
      <c r="P206" s="1100"/>
    </row>
    <row r="207" spans="1:16" hidden="1">
      <c r="A207" s="1101" t="s">
        <v>316</v>
      </c>
      <c r="B207" s="1105" t="s">
        <v>1242</v>
      </c>
      <c r="C207" s="1100"/>
      <c r="D207" s="1100"/>
      <c r="E207" s="1100"/>
      <c r="F207" s="1100"/>
      <c r="G207" s="1100"/>
      <c r="H207" s="1100"/>
      <c r="I207" s="1100"/>
      <c r="J207" s="1100"/>
      <c r="K207" s="1100"/>
      <c r="L207" s="1100"/>
      <c r="M207" s="1100"/>
      <c r="N207" s="1100"/>
      <c r="O207" s="1100"/>
      <c r="P207" s="1100"/>
    </row>
    <row r="208" spans="1:16">
      <c r="A208" s="1130" t="s">
        <v>92</v>
      </c>
      <c r="B208" s="1131" t="s">
        <v>2010</v>
      </c>
      <c r="C208" s="1100"/>
      <c r="D208" s="1100"/>
      <c r="E208" s="1100"/>
      <c r="F208" s="1100"/>
      <c r="G208" s="1100"/>
      <c r="H208" s="1100"/>
      <c r="I208" s="1100"/>
      <c r="J208" s="1100"/>
      <c r="K208" s="1100"/>
      <c r="L208" s="1100"/>
      <c r="M208" s="1100"/>
      <c r="N208" s="1100"/>
      <c r="O208" s="1100"/>
      <c r="P208" s="1100"/>
    </row>
    <row r="209" spans="1:16">
      <c r="A209" s="1130"/>
      <c r="B209" s="1131" t="s">
        <v>2011</v>
      </c>
      <c r="C209" s="1100"/>
      <c r="D209" s="1100"/>
      <c r="E209" s="1100"/>
      <c r="F209" s="1100"/>
      <c r="G209" s="1100"/>
      <c r="H209" s="1100"/>
      <c r="I209" s="1100"/>
      <c r="J209" s="1100"/>
      <c r="K209" s="1100"/>
      <c r="L209" s="1100"/>
      <c r="M209" s="1100"/>
      <c r="N209" s="1100"/>
      <c r="O209" s="1100"/>
      <c r="P209" s="1100"/>
    </row>
    <row r="210" spans="1:16">
      <c r="A210" s="1130" t="s">
        <v>155</v>
      </c>
      <c r="B210" s="1131" t="s">
        <v>2012</v>
      </c>
      <c r="C210" s="1100"/>
      <c r="D210" s="1100"/>
      <c r="E210" s="1100"/>
      <c r="F210" s="1100"/>
      <c r="G210" s="1100"/>
      <c r="H210" s="1100"/>
      <c r="I210" s="1100"/>
      <c r="J210" s="1100"/>
      <c r="K210" s="1100"/>
      <c r="L210" s="1100"/>
      <c r="M210" s="1100"/>
      <c r="N210" s="1132">
        <f>+'[3]Summary '!$D$145</f>
        <v>0.94260739999999998</v>
      </c>
      <c r="O210" s="1121">
        <f>+N210</f>
        <v>0.94260739999999998</v>
      </c>
      <c r="P210" s="1100"/>
    </row>
    <row r="211" spans="1:16" hidden="1">
      <c r="A211" s="1130" t="s">
        <v>316</v>
      </c>
      <c r="B211" s="1131" t="s">
        <v>2013</v>
      </c>
      <c r="C211" s="1100"/>
      <c r="D211" s="1100"/>
      <c r="E211" s="1100"/>
      <c r="F211" s="1100"/>
      <c r="G211" s="1100"/>
      <c r="H211" s="1100"/>
      <c r="I211" s="1100"/>
      <c r="J211" s="1100"/>
      <c r="K211" s="1100"/>
      <c r="L211" s="1100"/>
      <c r="M211" s="1100"/>
      <c r="N211" s="1100"/>
      <c r="O211" s="1100"/>
      <c r="P211" s="1100"/>
    </row>
    <row r="212" spans="1:16" hidden="1">
      <c r="A212" s="1130"/>
      <c r="B212" s="1131" t="s">
        <v>2014</v>
      </c>
      <c r="C212" s="1100"/>
      <c r="D212" s="1100"/>
      <c r="E212" s="1100"/>
      <c r="F212" s="1100"/>
      <c r="G212" s="1100"/>
      <c r="H212" s="1100"/>
      <c r="I212" s="1100"/>
      <c r="J212" s="1100"/>
      <c r="K212" s="1100"/>
      <c r="L212" s="1100"/>
      <c r="M212" s="1100"/>
      <c r="N212" s="1100"/>
      <c r="O212" s="1100"/>
      <c r="P212" s="1100"/>
    </row>
    <row r="213" spans="1:16" hidden="1">
      <c r="A213" s="1130"/>
      <c r="B213" s="1131" t="s">
        <v>2015</v>
      </c>
      <c r="C213" s="1100"/>
      <c r="D213" s="1100"/>
      <c r="E213" s="1100"/>
      <c r="F213" s="1100"/>
      <c r="G213" s="1100"/>
      <c r="H213" s="1100"/>
      <c r="I213" s="1100"/>
      <c r="J213" s="1100"/>
      <c r="K213" s="1100"/>
      <c r="L213" s="1100"/>
      <c r="M213" s="1100"/>
      <c r="N213" s="1100"/>
      <c r="O213" s="1100"/>
      <c r="P213" s="1100"/>
    </row>
    <row r="214" spans="1:16" hidden="1">
      <c r="A214" s="1130"/>
      <c r="B214" s="1131" t="s">
        <v>2016</v>
      </c>
      <c r="C214" s="1100"/>
      <c r="D214" s="1100"/>
      <c r="E214" s="1100"/>
      <c r="F214" s="1100"/>
      <c r="G214" s="1100"/>
      <c r="H214" s="1100"/>
      <c r="I214" s="1100"/>
      <c r="J214" s="1100"/>
      <c r="K214" s="1100"/>
      <c r="L214" s="1100"/>
      <c r="M214" s="1100"/>
      <c r="N214" s="1100"/>
      <c r="O214" s="1100"/>
      <c r="P214" s="1100"/>
    </row>
    <row r="215" spans="1:16" hidden="1">
      <c r="A215" s="1130"/>
      <c r="B215" s="1131" t="s">
        <v>2017</v>
      </c>
      <c r="C215" s="1100"/>
      <c r="D215" s="1100"/>
      <c r="E215" s="1100"/>
      <c r="F215" s="1100"/>
      <c r="G215" s="1100"/>
      <c r="H215" s="1100"/>
      <c r="I215" s="1100"/>
      <c r="J215" s="1100"/>
      <c r="K215" s="1100"/>
      <c r="L215" s="1100"/>
      <c r="M215" s="1100"/>
      <c r="N215" s="1100"/>
      <c r="O215" s="1100"/>
      <c r="P215" s="1100"/>
    </row>
    <row r="216" spans="1:16" hidden="1">
      <c r="A216" s="1130"/>
      <c r="B216" s="1131" t="s">
        <v>2018</v>
      </c>
      <c r="C216" s="1100"/>
      <c r="D216" s="1100"/>
      <c r="E216" s="1100"/>
      <c r="F216" s="1100"/>
      <c r="G216" s="1100"/>
      <c r="H216" s="1100"/>
      <c r="I216" s="1100"/>
      <c r="J216" s="1100"/>
      <c r="K216" s="1100"/>
      <c r="L216" s="1100"/>
      <c r="M216" s="1100"/>
      <c r="N216" s="1100"/>
      <c r="O216" s="1100"/>
      <c r="P216" s="1100"/>
    </row>
    <row r="217" spans="1:16" hidden="1">
      <c r="A217" s="1130"/>
      <c r="B217" s="1131" t="s">
        <v>2019</v>
      </c>
      <c r="C217" s="1100"/>
      <c r="D217" s="1100"/>
      <c r="E217" s="1100"/>
      <c r="F217" s="1100"/>
      <c r="G217" s="1100"/>
      <c r="H217" s="1100"/>
      <c r="I217" s="1100"/>
      <c r="J217" s="1100"/>
      <c r="K217" s="1100"/>
      <c r="L217" s="1100"/>
      <c r="M217" s="1100"/>
      <c r="N217" s="1100"/>
      <c r="O217" s="1100"/>
      <c r="P217" s="1100"/>
    </row>
    <row r="218" spans="1:16">
      <c r="A218" s="1130"/>
      <c r="B218" s="1131" t="s">
        <v>2020</v>
      </c>
      <c r="C218" s="1100"/>
      <c r="D218" s="1100"/>
      <c r="E218" s="1100"/>
      <c r="F218" s="1100"/>
      <c r="G218" s="1100"/>
      <c r="H218" s="1100"/>
      <c r="I218" s="1100"/>
      <c r="J218" s="1100"/>
      <c r="K218" s="1100"/>
      <c r="L218" s="1100"/>
      <c r="M218" s="1100"/>
      <c r="N218" s="1121">
        <v>0</v>
      </c>
      <c r="O218" s="1121">
        <f>+N218</f>
        <v>0</v>
      </c>
      <c r="P218" s="1100"/>
    </row>
    <row r="219" spans="1:16" hidden="1">
      <c r="A219" s="1130"/>
      <c r="B219" s="1131" t="s">
        <v>2021</v>
      </c>
      <c r="C219" s="1100"/>
      <c r="D219" s="1100"/>
      <c r="E219" s="1100"/>
      <c r="F219" s="1100"/>
      <c r="G219" s="1100"/>
      <c r="H219" s="1100"/>
      <c r="I219" s="1100"/>
      <c r="J219" s="1100"/>
      <c r="K219" s="1100"/>
      <c r="L219" s="1100"/>
      <c r="M219" s="1100"/>
      <c r="N219" s="1100"/>
      <c r="O219" s="1100"/>
      <c r="P219" s="1100"/>
    </row>
    <row r="220" spans="1:16">
      <c r="A220" s="1130" t="s">
        <v>317</v>
      </c>
      <c r="B220" s="1131" t="s">
        <v>1489</v>
      </c>
      <c r="C220" s="1100"/>
      <c r="D220" s="1100"/>
      <c r="E220" s="1100"/>
      <c r="F220" s="1100"/>
      <c r="G220" s="1100"/>
      <c r="H220" s="1100"/>
      <c r="I220" s="1100"/>
      <c r="J220" s="1100"/>
      <c r="K220" s="1100"/>
      <c r="L220" s="1100"/>
      <c r="M220" s="1100"/>
      <c r="N220" s="1100"/>
      <c r="O220" s="1100"/>
      <c r="P220" s="1100"/>
    </row>
    <row r="221" spans="1:16" hidden="1">
      <c r="A221" s="1130" t="s">
        <v>1008</v>
      </c>
      <c r="B221" s="1131" t="s">
        <v>1490</v>
      </c>
      <c r="C221" s="1100"/>
      <c r="D221" s="1100"/>
      <c r="E221" s="1100"/>
      <c r="F221" s="1100"/>
      <c r="G221" s="1100"/>
      <c r="H221" s="1100"/>
      <c r="I221" s="1100"/>
      <c r="J221" s="1100"/>
      <c r="K221" s="1100"/>
      <c r="L221" s="1100"/>
      <c r="M221" s="1100"/>
      <c r="N221" s="1100"/>
      <c r="O221" s="1100"/>
      <c r="P221" s="1100"/>
    </row>
    <row r="222" spans="1:16">
      <c r="A222" s="1101" t="s">
        <v>1258</v>
      </c>
      <c r="B222" s="1105" t="s">
        <v>1491</v>
      </c>
      <c r="C222" s="1100"/>
      <c r="D222" s="1100"/>
      <c r="E222" s="1100"/>
      <c r="F222" s="1100"/>
      <c r="G222" s="1100"/>
      <c r="H222" s="1100"/>
      <c r="I222" s="1100"/>
      <c r="J222" s="1100"/>
      <c r="K222" s="1100"/>
      <c r="L222" s="1100"/>
      <c r="M222" s="1100"/>
      <c r="N222" s="1100"/>
      <c r="O222" s="1100"/>
      <c r="P222" s="1100"/>
    </row>
    <row r="223" spans="1:16">
      <c r="A223" s="1101"/>
      <c r="B223" s="1107" t="s">
        <v>1499</v>
      </c>
      <c r="C223" s="1100"/>
      <c r="D223" s="1100"/>
      <c r="E223" s="1100"/>
      <c r="F223" s="1100"/>
      <c r="G223" s="1100"/>
      <c r="H223" s="1100"/>
      <c r="I223" s="1100"/>
      <c r="J223" s="1133">
        <f>SUM(J174:J222)</f>
        <v>0</v>
      </c>
      <c r="K223" s="1133">
        <f t="shared" ref="K223:O223" si="1">SUM(K174:K222)</f>
        <v>0</v>
      </c>
      <c r="L223" s="1133">
        <f t="shared" si="1"/>
        <v>0</v>
      </c>
      <c r="M223" s="1133">
        <f t="shared" si="1"/>
        <v>0</v>
      </c>
      <c r="N223" s="1133">
        <f t="shared" si="1"/>
        <v>0.94260739999999998</v>
      </c>
      <c r="O223" s="1133">
        <f t="shared" si="1"/>
        <v>0.94260739999999998</v>
      </c>
      <c r="P223" s="1133">
        <v>0</v>
      </c>
    </row>
    <row r="224" spans="1:16">
      <c r="A224" s="657"/>
      <c r="B224" s="656" t="s">
        <v>1492</v>
      </c>
      <c r="C224" s="1100"/>
      <c r="D224" s="1100"/>
      <c r="E224" s="1100"/>
      <c r="F224" s="1100"/>
      <c r="G224" s="1100"/>
      <c r="H224" s="1100"/>
      <c r="I224" s="1100"/>
      <c r="J224" s="1100"/>
      <c r="K224" s="1100"/>
      <c r="L224" s="1100"/>
      <c r="M224" s="1100"/>
      <c r="N224" s="1100"/>
      <c r="O224" s="1100"/>
      <c r="P224" s="1100"/>
    </row>
    <row r="225" spans="1:16">
      <c r="A225" s="657">
        <v>1</v>
      </c>
      <c r="B225" s="656" t="s">
        <v>1493</v>
      </c>
      <c r="C225" s="1100"/>
      <c r="D225" s="1100"/>
      <c r="E225" s="1100"/>
      <c r="F225" s="1100"/>
      <c r="G225" s="1100"/>
      <c r="H225" s="1100"/>
      <c r="I225" s="1100"/>
      <c r="J225" s="1121">
        <f>+'[3]Summary '!$D$85</f>
        <v>-0.13626141290276839</v>
      </c>
      <c r="K225" s="1100"/>
      <c r="L225" s="1121">
        <f>+'[3]Summary '!$D$101</f>
        <v>0.12268657499999959</v>
      </c>
      <c r="M225" s="1100"/>
      <c r="N225" s="1121">
        <f>+'[3]Summary '!$D$125</f>
        <v>-1.64406E-2</v>
      </c>
      <c r="O225" s="1122">
        <f>SUM(K225:N225)</f>
        <v>0.10624597499999959</v>
      </c>
      <c r="P225" s="1122">
        <f>+O225/J225*10</f>
        <v>-7.7972165954137864</v>
      </c>
    </row>
    <row r="226" spans="1:16">
      <c r="A226" s="657">
        <v>2</v>
      </c>
      <c r="B226" s="656" t="s">
        <v>1489</v>
      </c>
      <c r="C226" s="1100"/>
      <c r="D226" s="1100"/>
      <c r="E226" s="1100"/>
      <c r="F226" s="1100"/>
      <c r="G226" s="1100"/>
      <c r="H226" s="1100"/>
      <c r="I226" s="1100"/>
      <c r="J226" s="1100"/>
      <c r="K226" s="1100"/>
      <c r="L226" s="1100"/>
      <c r="M226" s="1100"/>
      <c r="N226" s="1100"/>
      <c r="O226" s="1100"/>
      <c r="P226" s="1100"/>
    </row>
    <row r="227" spans="1:16">
      <c r="A227" s="657">
        <v>3</v>
      </c>
      <c r="B227" s="656" t="s">
        <v>1494</v>
      </c>
      <c r="C227" s="1100"/>
      <c r="D227" s="1100"/>
      <c r="E227" s="1100"/>
      <c r="F227" s="1100"/>
      <c r="G227" s="1100"/>
      <c r="H227" s="1100"/>
      <c r="I227" s="1100"/>
      <c r="J227" s="1100"/>
      <c r="K227" s="1100"/>
      <c r="L227" s="1100"/>
      <c r="M227" s="1100"/>
      <c r="N227" s="1100"/>
      <c r="O227" s="1100"/>
      <c r="P227" s="1100"/>
    </row>
    <row r="228" spans="1:16">
      <c r="A228" s="657">
        <v>4</v>
      </c>
      <c r="B228" s="656" t="s">
        <v>1495</v>
      </c>
      <c r="C228" s="1100"/>
      <c r="D228" s="1100"/>
      <c r="E228" s="1100"/>
      <c r="F228" s="1100"/>
      <c r="G228" s="1100"/>
      <c r="H228" s="1100"/>
      <c r="I228" s="1100"/>
      <c r="J228" s="1100"/>
      <c r="K228" s="1100"/>
      <c r="L228" s="1100"/>
      <c r="M228" s="1100"/>
      <c r="N228" s="1100"/>
      <c r="O228" s="1100"/>
      <c r="P228" s="1100"/>
    </row>
    <row r="229" spans="1:16">
      <c r="A229" s="657">
        <v>5</v>
      </c>
      <c r="B229" s="656" t="s">
        <v>1496</v>
      </c>
      <c r="C229" s="1100"/>
      <c r="D229" s="1100"/>
      <c r="E229" s="1100"/>
      <c r="F229" s="1100"/>
      <c r="G229" s="1100"/>
      <c r="H229" s="1100"/>
      <c r="I229" s="1100"/>
      <c r="J229" s="1121">
        <f>+'[3]True-up'!$I$47</f>
        <v>4.457829946682299</v>
      </c>
      <c r="K229" s="1100"/>
      <c r="L229" s="1121">
        <f>+'[3]True-up'!$I$49</f>
        <v>2.4651095365</v>
      </c>
      <c r="M229" s="1100"/>
      <c r="N229" s="1121">
        <f>+'[3]True-up'!$I$51</f>
        <v>8.2600000000000017E-3</v>
      </c>
      <c r="O229" s="1122">
        <f>SUM(K229:N229)</f>
        <v>2.4733695364999999</v>
      </c>
      <c r="P229" s="1122">
        <f>+O229/J229*10</f>
        <v>5.5483712166741208</v>
      </c>
    </row>
    <row r="230" spans="1:16">
      <c r="A230" s="657">
        <v>6</v>
      </c>
      <c r="B230" s="656" t="s">
        <v>1497</v>
      </c>
      <c r="C230" s="1100"/>
      <c r="D230" s="1100"/>
      <c r="E230" s="1100"/>
      <c r="F230" s="1100"/>
      <c r="G230" s="1100"/>
      <c r="H230" s="1100"/>
      <c r="I230" s="1100"/>
      <c r="J230" s="1132">
        <f>+'[3]True-up'!$J$47</f>
        <v>-5.98961665E-2</v>
      </c>
      <c r="K230" s="1100"/>
      <c r="L230" s="1121">
        <f>+'[3]True-up'!$J$49</f>
        <v>-5.3051557999999999E-2</v>
      </c>
      <c r="M230" s="1100"/>
      <c r="N230" s="1100"/>
      <c r="O230" s="1122">
        <f>SUM(K230:N230)</f>
        <v>-5.3051557999999999E-2</v>
      </c>
      <c r="P230" s="1122">
        <f>+O230/J230*10</f>
        <v>8.857254328622183</v>
      </c>
    </row>
    <row r="231" spans="1:16">
      <c r="A231" s="657">
        <v>7</v>
      </c>
      <c r="B231" s="656" t="s">
        <v>1498</v>
      </c>
      <c r="C231" s="1100"/>
      <c r="D231" s="1100"/>
      <c r="E231" s="1100"/>
      <c r="F231" s="1100"/>
      <c r="G231" s="1100"/>
      <c r="H231" s="1100"/>
      <c r="I231" s="1100"/>
      <c r="J231" s="1100"/>
      <c r="K231" s="1100"/>
      <c r="L231" s="1100"/>
      <c r="M231" s="1100"/>
      <c r="N231" s="1100"/>
      <c r="O231" s="1100"/>
      <c r="P231" s="1100"/>
    </row>
    <row r="232" spans="1:16">
      <c r="A232" s="657"/>
      <c r="B232" s="656" t="s">
        <v>1499</v>
      </c>
      <c r="C232" s="1100"/>
      <c r="D232" s="1100"/>
      <c r="E232" s="1100"/>
      <c r="F232" s="1100"/>
      <c r="G232" s="1100"/>
      <c r="H232" s="1100"/>
      <c r="I232" s="1100"/>
      <c r="J232" s="1133">
        <f>SUM(J224:J231)</f>
        <v>4.2616723672795311</v>
      </c>
      <c r="K232" s="1100"/>
      <c r="L232" s="1133">
        <f>SUM(L224:L231)</f>
        <v>2.5347445534999995</v>
      </c>
      <c r="M232" s="1100"/>
      <c r="N232" s="1133">
        <f>SUM(N224:N231)</f>
        <v>-8.1805999999999979E-3</v>
      </c>
      <c r="O232" s="1133">
        <f>SUM(O224:O231)</f>
        <v>2.5265639534999997</v>
      </c>
      <c r="P232" s="1133">
        <f>+O232/J232*10</f>
        <v>5.928573892490121</v>
      </c>
    </row>
    <row r="233" spans="1:16">
      <c r="A233" s="1134"/>
      <c r="B233" s="1105" t="s">
        <v>603</v>
      </c>
      <c r="C233" s="1100"/>
      <c r="D233" s="1100"/>
      <c r="E233" s="1100"/>
      <c r="F233" s="1100"/>
      <c r="G233" s="1100"/>
      <c r="H233" s="1100"/>
      <c r="I233" s="1100"/>
      <c r="J233" s="1100"/>
      <c r="K233" s="1100"/>
      <c r="L233" s="1100"/>
      <c r="M233" s="1100"/>
      <c r="N233" s="1100"/>
      <c r="O233" s="1100"/>
      <c r="P233" s="1100"/>
    </row>
    <row r="234" spans="1:16">
      <c r="A234" s="1101"/>
      <c r="B234" s="1105" t="s">
        <v>1353</v>
      </c>
      <c r="C234" s="1100"/>
      <c r="D234" s="1100"/>
      <c r="E234" s="1100"/>
      <c r="F234" s="1100"/>
      <c r="G234" s="1100"/>
      <c r="H234" s="1100"/>
      <c r="I234" s="1100"/>
      <c r="J234" s="1100"/>
      <c r="K234" s="1100"/>
      <c r="L234" s="1100"/>
      <c r="M234" s="1100"/>
      <c r="N234" s="1100"/>
      <c r="O234" s="1100"/>
      <c r="P234" s="1100"/>
    </row>
    <row r="235" spans="1:16">
      <c r="A235" s="1101"/>
      <c r="B235" s="1105" t="s">
        <v>1354</v>
      </c>
      <c r="C235" s="1100"/>
      <c r="D235" s="1100"/>
      <c r="E235" s="1100"/>
      <c r="F235" s="1100"/>
      <c r="G235" s="1100"/>
      <c r="H235" s="1100"/>
      <c r="I235" s="1100"/>
      <c r="J235" s="1100"/>
      <c r="K235" s="1100"/>
      <c r="L235" s="1100"/>
      <c r="M235" s="1100"/>
      <c r="N235" s="1100"/>
      <c r="O235" s="1100"/>
      <c r="P235" s="1100"/>
    </row>
    <row r="236" spans="1:16">
      <c r="A236" s="1101"/>
      <c r="B236" s="1107" t="s">
        <v>79</v>
      </c>
      <c r="C236" s="1100"/>
      <c r="D236" s="1100"/>
      <c r="E236" s="1100"/>
      <c r="F236" s="1100"/>
      <c r="G236" s="1100"/>
      <c r="H236" s="1100"/>
      <c r="I236" s="1100"/>
      <c r="J236" s="1135">
        <f>+J232+J223+J172+J166+J134+J131+J125+J117+J110+J94+J85+J43+J30+J13+J11</f>
        <v>39.512142367279537</v>
      </c>
      <c r="K236" s="1100"/>
      <c r="L236" s="1135">
        <f>+L232+L223+L172+L166+L134+L131+L125+L117+L110+L94+L85+L43+L30+L13+L11</f>
        <v>24.057461623499997</v>
      </c>
      <c r="M236" s="1100"/>
      <c r="N236" s="1135">
        <f>+N232+N223+N172+N166+N134+N131+N125+N117+N110+N94+N85+N43+N30+N13+N11</f>
        <v>0.85194304759999995</v>
      </c>
      <c r="O236" s="1135">
        <f>+O232+O223+O172+O166+O134+O131+O125+O117+O110+O94+O85+O43+O30+O13+O11</f>
        <v>24.909404671099999</v>
      </c>
      <c r="P236" s="1133">
        <f>+O236/J236*10</f>
        <v>6.3042404634904745</v>
      </c>
    </row>
    <row r="237" spans="1:16">
      <c r="J237" s="1136">
        <f>+'Energy Balance'!I20-J236</f>
        <v>0</v>
      </c>
    </row>
    <row r="238" spans="1:16">
      <c r="A238" s="1749" t="s">
        <v>1284</v>
      </c>
      <c r="B238" s="1750"/>
      <c r="C238" s="1750"/>
      <c r="D238" s="1750"/>
      <c r="E238" s="1750"/>
      <c r="F238" s="1750"/>
      <c r="G238" s="1750"/>
      <c r="H238" s="1750"/>
      <c r="I238" s="1750"/>
      <c r="J238" s="1750"/>
      <c r="K238" s="1750"/>
      <c r="L238" s="1750"/>
      <c r="M238" s="1750"/>
      <c r="N238" s="1750"/>
      <c r="O238" s="1750"/>
      <c r="P238" s="1750"/>
    </row>
    <row r="239" spans="1:16">
      <c r="A239" s="1751" t="s">
        <v>1503</v>
      </c>
      <c r="B239" s="1752"/>
      <c r="C239" s="1752"/>
      <c r="D239" s="1752"/>
      <c r="E239" s="1752"/>
      <c r="F239" s="1752"/>
      <c r="G239" s="1752"/>
      <c r="H239" s="1752"/>
      <c r="I239" s="1752"/>
      <c r="J239" s="1752"/>
      <c r="K239" s="1752"/>
      <c r="L239" s="1752"/>
      <c r="M239" s="1752"/>
      <c r="N239" s="1752"/>
      <c r="O239" s="1752"/>
      <c r="P239" s="1752"/>
    </row>
    <row r="240" spans="1:16">
      <c r="A240" s="1751" t="s">
        <v>1275</v>
      </c>
      <c r="B240" s="1752"/>
      <c r="C240" s="1752"/>
      <c r="D240" s="1752"/>
      <c r="E240" s="1752"/>
      <c r="F240" s="1752"/>
      <c r="G240" s="1752"/>
      <c r="H240" s="1752"/>
      <c r="I240" s="1752"/>
      <c r="J240" s="1752"/>
      <c r="K240" s="1752"/>
      <c r="L240" s="1752"/>
      <c r="M240" s="1752"/>
      <c r="N240" s="1752"/>
      <c r="O240" s="1752"/>
      <c r="P240" s="1752"/>
    </row>
    <row r="242" spans="1:16">
      <c r="A242" s="1754" t="s">
        <v>192</v>
      </c>
      <c r="B242" s="1754" t="s">
        <v>193</v>
      </c>
      <c r="C242" s="1755" t="s">
        <v>1442</v>
      </c>
      <c r="D242" s="1756"/>
      <c r="E242" s="1756"/>
      <c r="F242" s="1756"/>
      <c r="G242" s="1756"/>
      <c r="H242" s="1756"/>
      <c r="I242" s="1756"/>
      <c r="J242" s="1756"/>
      <c r="K242" s="1756"/>
      <c r="L242" s="1756"/>
      <c r="M242" s="1756"/>
      <c r="N242" s="1756"/>
      <c r="O242" s="1756"/>
      <c r="P242" s="1756"/>
    </row>
    <row r="243" spans="1:16">
      <c r="A243" s="1754"/>
      <c r="B243" s="1754"/>
      <c r="C243" s="1757"/>
      <c r="D243" s="1758"/>
      <c r="E243" s="1758"/>
      <c r="F243" s="1758"/>
      <c r="G243" s="1758"/>
      <c r="H243" s="1758"/>
      <c r="I243" s="1758"/>
      <c r="J243" s="1758"/>
      <c r="K243" s="1758"/>
      <c r="L243" s="1758"/>
      <c r="M243" s="1758"/>
      <c r="N243" s="1758"/>
      <c r="O243" s="1758"/>
      <c r="P243" s="1758"/>
    </row>
    <row r="244" spans="1:16">
      <c r="A244" s="1754"/>
      <c r="B244" s="1754"/>
      <c r="C244" s="1759"/>
      <c r="D244" s="1760"/>
      <c r="E244" s="1760"/>
      <c r="F244" s="1760"/>
      <c r="G244" s="1760"/>
      <c r="H244" s="1760"/>
      <c r="I244" s="1760"/>
      <c r="J244" s="1760"/>
      <c r="K244" s="1760"/>
      <c r="L244" s="1760"/>
      <c r="M244" s="1760"/>
      <c r="N244" s="1760"/>
      <c r="O244" s="1760"/>
      <c r="P244" s="1760"/>
    </row>
    <row r="245" spans="1:16" ht="63">
      <c r="A245" s="1754"/>
      <c r="B245" s="1754"/>
      <c r="C245" s="1098" t="s">
        <v>194</v>
      </c>
      <c r="D245" s="1098" t="s">
        <v>1466</v>
      </c>
      <c r="E245" s="1098" t="s">
        <v>608</v>
      </c>
      <c r="F245" s="1098" t="s">
        <v>610</v>
      </c>
      <c r="G245" s="1098" t="s">
        <v>609</v>
      </c>
      <c r="H245" s="1098" t="s">
        <v>195</v>
      </c>
      <c r="I245" s="1098" t="s">
        <v>196</v>
      </c>
      <c r="J245" s="1098" t="s">
        <v>1445</v>
      </c>
      <c r="K245" s="1098" t="s">
        <v>612</v>
      </c>
      <c r="L245" s="1098" t="s">
        <v>611</v>
      </c>
      <c r="M245" s="1098" t="s">
        <v>1505</v>
      </c>
      <c r="N245" s="1098" t="s">
        <v>613</v>
      </c>
      <c r="O245" s="1098" t="s">
        <v>506</v>
      </c>
      <c r="P245" s="1098" t="s">
        <v>1446</v>
      </c>
    </row>
    <row r="246" spans="1:16">
      <c r="A246" s="1099"/>
      <c r="B246" s="1099"/>
      <c r="C246" s="1099"/>
      <c r="D246" s="1099"/>
      <c r="E246" s="1099"/>
      <c r="F246" s="1099"/>
      <c r="G246" s="1099"/>
      <c r="H246" s="1099"/>
      <c r="I246" s="1099"/>
      <c r="J246" s="1100"/>
      <c r="K246" s="1100"/>
      <c r="L246" s="1100"/>
      <c r="M246" s="1100"/>
      <c r="N246" s="1100"/>
      <c r="O246" s="1100"/>
      <c r="P246" s="1100"/>
    </row>
    <row r="247" spans="1:16">
      <c r="A247" s="1101" t="s">
        <v>32</v>
      </c>
      <c r="B247" s="1102" t="s">
        <v>1229</v>
      </c>
      <c r="C247" s="1099"/>
      <c r="D247" s="1099"/>
      <c r="E247" s="1099"/>
      <c r="F247" s="1099"/>
      <c r="G247" s="1099"/>
      <c r="H247" s="1099"/>
      <c r="I247" s="1099"/>
      <c r="J247" s="1100"/>
      <c r="K247" s="1100"/>
      <c r="L247" s="1100"/>
      <c r="M247" s="1100"/>
      <c r="N247" s="1100"/>
      <c r="O247" s="1100"/>
      <c r="P247" s="1100"/>
    </row>
    <row r="248" spans="1:16" hidden="1">
      <c r="A248" s="1101" t="s">
        <v>15</v>
      </c>
      <c r="B248" s="1103" t="s">
        <v>1288</v>
      </c>
      <c r="C248" s="1099"/>
      <c r="D248" s="1099"/>
      <c r="E248" s="1099"/>
      <c r="F248" s="1099"/>
      <c r="G248" s="1099"/>
      <c r="H248" s="1099"/>
      <c r="I248" s="1099"/>
      <c r="J248" s="1100"/>
      <c r="K248" s="1100"/>
      <c r="L248" s="1100"/>
      <c r="M248" s="1100"/>
      <c r="N248" s="1100"/>
      <c r="O248" s="1100"/>
      <c r="P248" s="1100"/>
    </row>
    <row r="249" spans="1:16" hidden="1">
      <c r="A249" s="1101"/>
      <c r="B249" s="1103"/>
      <c r="C249" s="1099"/>
      <c r="D249" s="1099"/>
      <c r="E249" s="1099"/>
      <c r="F249" s="1099"/>
      <c r="G249" s="1099"/>
      <c r="H249" s="1099"/>
      <c r="I249" s="1099"/>
      <c r="J249" s="1100"/>
      <c r="K249" s="1100"/>
      <c r="L249" s="1100"/>
      <c r="M249" s="1100"/>
      <c r="N249" s="1100"/>
      <c r="O249" s="1100"/>
      <c r="P249" s="1100"/>
    </row>
    <row r="250" spans="1:16" hidden="1">
      <c r="A250" s="1101" t="s">
        <v>16</v>
      </c>
      <c r="B250" s="1103" t="s">
        <v>1289</v>
      </c>
      <c r="C250" s="1099"/>
      <c r="D250" s="1099"/>
      <c r="E250" s="1099"/>
      <c r="F250" s="1099"/>
      <c r="G250" s="1099"/>
      <c r="H250" s="1099"/>
      <c r="I250" s="1099"/>
      <c r="J250" s="1100"/>
      <c r="K250" s="1100"/>
      <c r="L250" s="1100"/>
      <c r="M250" s="1100"/>
      <c r="N250" s="1100"/>
      <c r="O250" s="1100"/>
      <c r="P250" s="1100"/>
    </row>
    <row r="251" spans="1:16" hidden="1">
      <c r="A251" s="1101">
        <v>1</v>
      </c>
      <c r="B251" s="1104" t="s">
        <v>1501</v>
      </c>
      <c r="C251" s="1099"/>
      <c r="D251" s="1099"/>
      <c r="E251" s="1099"/>
      <c r="F251" s="1099"/>
      <c r="G251" s="1099"/>
      <c r="H251" s="1099"/>
      <c r="I251" s="1099"/>
      <c r="J251" s="1100"/>
      <c r="K251" s="1100"/>
      <c r="L251" s="1100"/>
      <c r="M251" s="1100"/>
      <c r="N251" s="1100"/>
      <c r="O251" s="1100"/>
      <c r="P251" s="1100"/>
    </row>
    <row r="252" spans="1:16" hidden="1">
      <c r="A252" s="1101">
        <v>2</v>
      </c>
      <c r="B252" s="1105" t="s">
        <v>1502</v>
      </c>
      <c r="C252" s="1099"/>
      <c r="D252" s="1099"/>
      <c r="E252" s="1099"/>
      <c r="F252" s="1099"/>
      <c r="G252" s="1099"/>
      <c r="H252" s="1099"/>
      <c r="I252" s="1099"/>
      <c r="J252" s="1100"/>
      <c r="K252" s="1100"/>
      <c r="L252" s="1100"/>
      <c r="M252" s="1100"/>
      <c r="N252" s="1100"/>
      <c r="O252" s="1100"/>
      <c r="P252" s="1100"/>
    </row>
    <row r="253" spans="1:16" hidden="1">
      <c r="A253" s="1101">
        <v>3</v>
      </c>
      <c r="B253" s="1105" t="s">
        <v>1915</v>
      </c>
      <c r="C253" s="1099"/>
      <c r="D253" s="1099"/>
      <c r="E253" s="1099"/>
      <c r="F253" s="1099"/>
      <c r="G253" s="1099"/>
      <c r="H253" s="1099"/>
      <c r="I253" s="1099"/>
      <c r="J253" s="1100"/>
      <c r="K253" s="1100"/>
      <c r="L253" s="1100"/>
      <c r="M253" s="1100"/>
      <c r="N253" s="1100"/>
      <c r="O253" s="1100"/>
      <c r="P253" s="1100"/>
    </row>
    <row r="254" spans="1:16" hidden="1">
      <c r="A254" s="1101">
        <v>4</v>
      </c>
      <c r="B254" s="1105" t="s">
        <v>1916</v>
      </c>
      <c r="C254" s="1099"/>
      <c r="D254" s="1099"/>
      <c r="E254" s="1099"/>
      <c r="F254" s="1099"/>
      <c r="G254" s="1099"/>
      <c r="H254" s="1099"/>
      <c r="I254" s="1099"/>
      <c r="J254" s="1100"/>
      <c r="K254" s="1100"/>
      <c r="L254" s="1100"/>
      <c r="M254" s="1100"/>
      <c r="N254" s="1100"/>
      <c r="O254" s="1100"/>
      <c r="P254" s="1100"/>
    </row>
    <row r="255" spans="1:16" hidden="1">
      <c r="A255" s="1101">
        <v>5</v>
      </c>
      <c r="B255" s="1105" t="s">
        <v>1917</v>
      </c>
      <c r="C255" s="1099"/>
      <c r="D255" s="1099"/>
      <c r="E255" s="1099"/>
      <c r="F255" s="1099"/>
      <c r="G255" s="1099"/>
      <c r="H255" s="1099"/>
      <c r="I255" s="1099"/>
      <c r="J255" s="1100"/>
      <c r="K255" s="1100"/>
      <c r="L255" s="1100"/>
      <c r="M255" s="1100"/>
      <c r="N255" s="1100"/>
      <c r="O255" s="1100"/>
      <c r="P255" s="1100"/>
    </row>
    <row r="256" spans="1:16" hidden="1">
      <c r="A256" s="1101">
        <v>6</v>
      </c>
      <c r="B256" s="1105" t="s">
        <v>1918</v>
      </c>
      <c r="C256" s="1099"/>
      <c r="D256" s="1099"/>
      <c r="E256" s="1099"/>
      <c r="F256" s="1099"/>
      <c r="G256" s="1099"/>
      <c r="H256" s="1099"/>
      <c r="I256" s="1099"/>
      <c r="J256" s="1100"/>
      <c r="K256" s="1100"/>
      <c r="L256" s="1100"/>
      <c r="M256" s="1100"/>
      <c r="N256" s="1100"/>
      <c r="O256" s="1100"/>
      <c r="P256" s="1100"/>
    </row>
    <row r="257" spans="1:16" hidden="1">
      <c r="A257" s="1101">
        <v>7</v>
      </c>
      <c r="B257" s="1105" t="s">
        <v>1919</v>
      </c>
      <c r="C257" s="1099"/>
      <c r="D257" s="1099"/>
      <c r="E257" s="1099"/>
      <c r="F257" s="1099"/>
      <c r="G257" s="1099"/>
      <c r="H257" s="1099"/>
      <c r="I257" s="1099"/>
      <c r="J257" s="1100"/>
      <c r="K257" s="1100"/>
      <c r="L257" s="1100"/>
      <c r="M257" s="1100"/>
      <c r="N257" s="1100"/>
      <c r="O257" s="1100"/>
      <c r="P257" s="1100"/>
    </row>
    <row r="258" spans="1:16" hidden="1">
      <c r="A258" s="1101">
        <v>8</v>
      </c>
      <c r="B258" s="1105" t="s">
        <v>1920</v>
      </c>
      <c r="C258" s="1099"/>
      <c r="D258" s="1099"/>
      <c r="E258" s="1099"/>
      <c r="F258" s="1099"/>
      <c r="G258" s="1099"/>
      <c r="H258" s="1099"/>
      <c r="I258" s="1099"/>
      <c r="J258" s="1100"/>
      <c r="K258" s="1100"/>
      <c r="L258" s="1100"/>
      <c r="M258" s="1100"/>
      <c r="N258" s="1100"/>
      <c r="O258" s="1100"/>
      <c r="P258" s="1100"/>
    </row>
    <row r="259" spans="1:16" hidden="1">
      <c r="A259" s="1101">
        <v>9</v>
      </c>
      <c r="B259" s="1105" t="s">
        <v>1921</v>
      </c>
      <c r="C259" s="1099"/>
      <c r="D259" s="1099"/>
      <c r="E259" s="1099"/>
      <c r="F259" s="1099"/>
      <c r="G259" s="1099"/>
      <c r="H259" s="1099"/>
      <c r="I259" s="1099"/>
      <c r="J259" s="1100"/>
      <c r="K259" s="1100"/>
      <c r="L259" s="1100"/>
      <c r="M259" s="1100"/>
      <c r="N259" s="1100"/>
      <c r="O259" s="1100"/>
      <c r="P259" s="1100"/>
    </row>
    <row r="260" spans="1:16" hidden="1">
      <c r="A260" s="1101">
        <v>10</v>
      </c>
      <c r="B260" s="1105" t="s">
        <v>1922</v>
      </c>
      <c r="C260" s="1099"/>
      <c r="D260" s="1099"/>
      <c r="E260" s="1099"/>
      <c r="F260" s="1099"/>
      <c r="G260" s="1099"/>
      <c r="H260" s="1099"/>
      <c r="I260" s="1099"/>
      <c r="J260" s="1100"/>
      <c r="K260" s="1100"/>
      <c r="L260" s="1100"/>
      <c r="M260" s="1100"/>
      <c r="N260" s="1100"/>
      <c r="O260" s="1100"/>
      <c r="P260" s="1100"/>
    </row>
    <row r="261" spans="1:16" hidden="1">
      <c r="A261" s="1101">
        <v>11</v>
      </c>
      <c r="B261" s="1105" t="s">
        <v>1923</v>
      </c>
      <c r="C261" s="1099"/>
      <c r="D261" s="1099"/>
      <c r="E261" s="1099"/>
      <c r="F261" s="1099"/>
      <c r="G261" s="1099"/>
      <c r="H261" s="1099"/>
      <c r="I261" s="1099"/>
      <c r="J261" s="1100"/>
      <c r="K261" s="1100"/>
      <c r="L261" s="1100"/>
      <c r="M261" s="1100"/>
      <c r="N261" s="1100"/>
      <c r="O261" s="1100"/>
      <c r="P261" s="1100"/>
    </row>
    <row r="262" spans="1:16" hidden="1">
      <c r="A262" s="1101">
        <v>12</v>
      </c>
      <c r="B262" s="1105" t="s">
        <v>1924</v>
      </c>
      <c r="C262" s="1099"/>
      <c r="D262" s="1099"/>
      <c r="E262" s="1099"/>
      <c r="F262" s="1099"/>
      <c r="G262" s="1099"/>
      <c r="H262" s="1099"/>
      <c r="I262" s="1099"/>
      <c r="J262" s="1100"/>
      <c r="K262" s="1100"/>
      <c r="L262" s="1100"/>
      <c r="M262" s="1100"/>
      <c r="N262" s="1100"/>
      <c r="O262" s="1100"/>
      <c r="P262" s="1100"/>
    </row>
    <row r="263" spans="1:16" hidden="1">
      <c r="A263" s="1101">
        <v>13</v>
      </c>
      <c r="B263" s="1105" t="s">
        <v>1925</v>
      </c>
      <c r="C263" s="1099"/>
      <c r="D263" s="1099"/>
      <c r="E263" s="1099"/>
      <c r="F263" s="1099"/>
      <c r="G263" s="1099"/>
      <c r="H263" s="1099"/>
      <c r="I263" s="1099"/>
      <c r="J263" s="1100"/>
      <c r="K263" s="1100"/>
      <c r="L263" s="1100"/>
      <c r="M263" s="1100"/>
      <c r="N263" s="1100"/>
      <c r="O263" s="1100"/>
      <c r="P263" s="1100"/>
    </row>
    <row r="264" spans="1:16" hidden="1">
      <c r="A264" s="1101">
        <v>14</v>
      </c>
      <c r="B264" s="1105" t="s">
        <v>1926</v>
      </c>
      <c r="C264" s="1099"/>
      <c r="D264" s="1099"/>
      <c r="E264" s="1099"/>
      <c r="F264" s="1099"/>
      <c r="G264" s="1099"/>
      <c r="H264" s="1099"/>
      <c r="I264" s="1099"/>
      <c r="J264" s="1100"/>
      <c r="K264" s="1100"/>
      <c r="L264" s="1100"/>
      <c r="M264" s="1100"/>
      <c r="N264" s="1100"/>
      <c r="O264" s="1100"/>
      <c r="P264" s="1100"/>
    </row>
    <row r="265" spans="1:16" hidden="1">
      <c r="A265" s="1106"/>
      <c r="B265" s="1107" t="s">
        <v>153</v>
      </c>
      <c r="C265" s="1099"/>
      <c r="D265" s="1099"/>
      <c r="E265" s="1099"/>
      <c r="F265" s="1099"/>
      <c r="G265" s="1099"/>
      <c r="H265" s="1099"/>
      <c r="I265" s="1099"/>
      <c r="J265" s="1100"/>
      <c r="K265" s="1100"/>
      <c r="L265" s="1100"/>
      <c r="M265" s="1100"/>
      <c r="N265" s="1100"/>
      <c r="O265" s="1100"/>
      <c r="P265" s="1100"/>
    </row>
    <row r="266" spans="1:16" hidden="1">
      <c r="A266" s="1101"/>
      <c r="B266" s="1105"/>
      <c r="C266" s="1099"/>
      <c r="D266" s="1099"/>
      <c r="E266" s="1099"/>
      <c r="F266" s="1099"/>
      <c r="G266" s="1099"/>
      <c r="H266" s="1099"/>
      <c r="I266" s="1099"/>
      <c r="J266" s="1100"/>
      <c r="K266" s="1100"/>
      <c r="L266" s="1100"/>
      <c r="M266" s="1100"/>
      <c r="N266" s="1100"/>
      <c r="O266" s="1100"/>
      <c r="P266" s="1100"/>
    </row>
    <row r="267" spans="1:16" hidden="1">
      <c r="A267" s="1101" t="s">
        <v>17</v>
      </c>
      <c r="B267" s="1105" t="s">
        <v>1301</v>
      </c>
      <c r="C267" s="1099"/>
      <c r="D267" s="1099"/>
      <c r="E267" s="1099"/>
      <c r="F267" s="1099"/>
      <c r="G267" s="1099"/>
      <c r="H267" s="1099"/>
      <c r="I267" s="1099"/>
      <c r="J267" s="1100"/>
      <c r="K267" s="1100"/>
      <c r="L267" s="1100"/>
      <c r="M267" s="1100"/>
      <c r="N267" s="1100"/>
      <c r="O267" s="1100"/>
      <c r="P267" s="1100"/>
    </row>
    <row r="268" spans="1:16" hidden="1">
      <c r="A268" s="1101">
        <v>1</v>
      </c>
      <c r="B268" s="1105" t="s">
        <v>1301</v>
      </c>
      <c r="C268" s="1099"/>
      <c r="D268" s="1099"/>
      <c r="E268" s="1099"/>
      <c r="F268" s="1099"/>
      <c r="G268" s="1099"/>
      <c r="H268" s="1099"/>
      <c r="I268" s="1099"/>
      <c r="J268" s="1100"/>
      <c r="K268" s="1100"/>
      <c r="L268" s="1100"/>
      <c r="M268" s="1100"/>
      <c r="N268" s="1100"/>
      <c r="O268" s="1100"/>
      <c r="P268" s="1100"/>
    </row>
    <row r="269" spans="1:16" hidden="1">
      <c r="A269" s="1101">
        <v>2</v>
      </c>
      <c r="B269" s="1105" t="s">
        <v>1927</v>
      </c>
      <c r="C269" s="1099"/>
      <c r="D269" s="1099"/>
      <c r="E269" s="1099"/>
      <c r="F269" s="1099"/>
      <c r="G269" s="1099"/>
      <c r="H269" s="1099"/>
      <c r="I269" s="1099"/>
      <c r="J269" s="1100"/>
      <c r="K269" s="1100"/>
      <c r="L269" s="1100"/>
      <c r="M269" s="1100"/>
      <c r="N269" s="1100"/>
      <c r="O269" s="1100"/>
      <c r="P269" s="1100"/>
    </row>
    <row r="270" spans="1:16" hidden="1">
      <c r="A270" s="1101">
        <v>3</v>
      </c>
      <c r="B270" s="1105" t="s">
        <v>1928</v>
      </c>
      <c r="C270" s="1099"/>
      <c r="D270" s="1099"/>
      <c r="E270" s="1099"/>
      <c r="F270" s="1099"/>
      <c r="G270" s="1099"/>
      <c r="H270" s="1099"/>
      <c r="I270" s="1099"/>
      <c r="J270" s="1100"/>
      <c r="K270" s="1100"/>
      <c r="L270" s="1100"/>
      <c r="M270" s="1100"/>
      <c r="N270" s="1100"/>
      <c r="O270" s="1100"/>
      <c r="P270" s="1100"/>
    </row>
    <row r="271" spans="1:16" hidden="1">
      <c r="A271" s="1101">
        <v>4</v>
      </c>
      <c r="B271" s="1105" t="s">
        <v>1929</v>
      </c>
      <c r="C271" s="1099"/>
      <c r="D271" s="1099"/>
      <c r="E271" s="1099"/>
      <c r="F271" s="1099"/>
      <c r="G271" s="1099"/>
      <c r="H271" s="1099"/>
      <c r="I271" s="1099"/>
      <c r="J271" s="1100"/>
      <c r="K271" s="1100"/>
      <c r="L271" s="1100"/>
      <c r="M271" s="1100"/>
      <c r="N271" s="1100"/>
      <c r="O271" s="1100"/>
      <c r="P271" s="1100"/>
    </row>
    <row r="272" spans="1:16" hidden="1">
      <c r="A272" s="1101">
        <v>5</v>
      </c>
      <c r="B272" s="1105" t="s">
        <v>1930</v>
      </c>
      <c r="C272" s="1108"/>
      <c r="D272" s="1108"/>
      <c r="E272" s="1108"/>
      <c r="F272" s="1108"/>
      <c r="G272" s="1108"/>
      <c r="H272" s="1108"/>
      <c r="I272" s="1108"/>
      <c r="J272" s="1100"/>
      <c r="K272" s="1100"/>
      <c r="L272" s="1100"/>
      <c r="M272" s="1100"/>
      <c r="N272" s="1100"/>
      <c r="O272" s="1100"/>
      <c r="P272" s="1100"/>
    </row>
    <row r="273" spans="1:16" hidden="1">
      <c r="A273" s="1101">
        <v>6</v>
      </c>
      <c r="B273" s="1105" t="s">
        <v>1306</v>
      </c>
      <c r="C273" s="1099"/>
      <c r="D273" s="1099"/>
      <c r="E273" s="1099"/>
      <c r="F273" s="1099"/>
      <c r="G273" s="1099"/>
      <c r="H273" s="1099"/>
      <c r="I273" s="1099"/>
      <c r="J273" s="1100"/>
      <c r="K273" s="1100"/>
      <c r="L273" s="1100"/>
      <c r="M273" s="1100"/>
      <c r="N273" s="1100"/>
      <c r="O273" s="1100"/>
      <c r="P273" s="1100"/>
    </row>
    <row r="274" spans="1:16" hidden="1">
      <c r="A274" s="1101">
        <v>7</v>
      </c>
      <c r="B274" s="1105" t="s">
        <v>1931</v>
      </c>
      <c r="C274" s="1099"/>
      <c r="D274" s="1099"/>
      <c r="E274" s="1099"/>
      <c r="F274" s="1099"/>
      <c r="G274" s="1099"/>
      <c r="H274" s="1099"/>
      <c r="I274" s="1099"/>
      <c r="J274" s="1100"/>
      <c r="K274" s="1100"/>
      <c r="L274" s="1100"/>
      <c r="M274" s="1100"/>
      <c r="N274" s="1100"/>
      <c r="O274" s="1100"/>
      <c r="P274" s="1100"/>
    </row>
    <row r="275" spans="1:16" hidden="1">
      <c r="A275" s="1101">
        <v>8</v>
      </c>
      <c r="B275" s="1105" t="s">
        <v>1932</v>
      </c>
      <c r="C275" s="1099"/>
      <c r="D275" s="1099"/>
      <c r="E275" s="1099"/>
      <c r="F275" s="1099"/>
      <c r="G275" s="1099"/>
      <c r="H275" s="1099"/>
      <c r="I275" s="1099"/>
      <c r="J275" s="1100"/>
      <c r="K275" s="1100"/>
      <c r="L275" s="1100"/>
      <c r="M275" s="1100"/>
      <c r="N275" s="1100"/>
      <c r="O275" s="1100"/>
      <c r="P275" s="1100"/>
    </row>
    <row r="276" spans="1:16" hidden="1">
      <c r="A276" s="1101"/>
      <c r="B276" s="1109" t="s">
        <v>1933</v>
      </c>
      <c r="C276" s="1099"/>
      <c r="D276" s="1099"/>
      <c r="E276" s="1099"/>
      <c r="F276" s="1099"/>
      <c r="G276" s="1099"/>
      <c r="H276" s="1099"/>
      <c r="I276" s="1099"/>
      <c r="J276" s="1100"/>
      <c r="K276" s="1100"/>
      <c r="L276" s="1100"/>
      <c r="M276" s="1100"/>
      <c r="N276" s="1100"/>
      <c r="O276" s="1100"/>
      <c r="P276" s="1100"/>
    </row>
    <row r="277" spans="1:16" hidden="1">
      <c r="A277" s="1101"/>
      <c r="B277" s="1107" t="s">
        <v>153</v>
      </c>
      <c r="C277" s="1099"/>
      <c r="D277" s="1099"/>
      <c r="E277" s="1099"/>
      <c r="F277" s="1099"/>
      <c r="G277" s="1099"/>
      <c r="H277" s="1099"/>
      <c r="I277" s="1099"/>
      <c r="J277" s="1100"/>
      <c r="K277" s="1100"/>
      <c r="L277" s="1100"/>
      <c r="M277" s="1100"/>
      <c r="N277" s="1100"/>
      <c r="O277" s="1100"/>
      <c r="P277" s="1100"/>
    </row>
    <row r="278" spans="1:16" hidden="1">
      <c r="A278" s="1101"/>
      <c r="B278" s="1105"/>
      <c r="C278" s="1099"/>
      <c r="D278" s="1099"/>
      <c r="E278" s="1099"/>
      <c r="F278" s="1099"/>
      <c r="G278" s="1099"/>
      <c r="H278" s="1099"/>
      <c r="I278" s="1099"/>
      <c r="J278" s="1100"/>
      <c r="K278" s="1100"/>
      <c r="L278" s="1100"/>
      <c r="M278" s="1100"/>
      <c r="N278" s="1100"/>
      <c r="O278" s="1100"/>
      <c r="P278" s="1100"/>
    </row>
    <row r="279" spans="1:16" hidden="1">
      <c r="A279" s="1101"/>
      <c r="B279" s="1105"/>
      <c r="C279" s="1099"/>
      <c r="D279" s="1099"/>
      <c r="E279" s="1099"/>
      <c r="F279" s="1099"/>
      <c r="G279" s="1099"/>
      <c r="H279" s="1099"/>
      <c r="I279" s="1099"/>
      <c r="J279" s="1100"/>
      <c r="K279" s="1100"/>
      <c r="L279" s="1100"/>
      <c r="M279" s="1100"/>
      <c r="N279" s="1100"/>
      <c r="O279" s="1100"/>
      <c r="P279" s="1100"/>
    </row>
    <row r="280" spans="1:16" hidden="1">
      <c r="A280" s="1101" t="s">
        <v>20</v>
      </c>
      <c r="B280" s="1105" t="s">
        <v>1307</v>
      </c>
      <c r="C280" s="1099"/>
      <c r="D280" s="1099"/>
      <c r="E280" s="1099"/>
      <c r="F280" s="1099"/>
      <c r="G280" s="1099"/>
      <c r="H280" s="1099"/>
      <c r="I280" s="1099"/>
      <c r="J280" s="1100"/>
      <c r="K280" s="1100"/>
      <c r="L280" s="1100"/>
      <c r="M280" s="1100"/>
      <c r="N280" s="1100"/>
      <c r="O280" s="1100"/>
      <c r="P280" s="1100"/>
    </row>
    <row r="281" spans="1:16" hidden="1">
      <c r="A281" s="1101" t="s">
        <v>15</v>
      </c>
      <c r="B281" s="1105" t="s">
        <v>1308</v>
      </c>
      <c r="C281" s="1099"/>
      <c r="D281" s="1099"/>
      <c r="E281" s="1099"/>
      <c r="F281" s="1099"/>
      <c r="G281" s="1099"/>
      <c r="H281" s="1099"/>
      <c r="I281" s="1099"/>
      <c r="J281" s="1100"/>
      <c r="K281" s="1100"/>
      <c r="L281" s="1100"/>
      <c r="M281" s="1100"/>
      <c r="N281" s="1100"/>
      <c r="O281" s="1100"/>
      <c r="P281" s="1100"/>
    </row>
    <row r="282" spans="1:16" hidden="1">
      <c r="A282" s="1101">
        <v>1</v>
      </c>
      <c r="B282" s="1105" t="s">
        <v>1308</v>
      </c>
      <c r="C282" s="1099"/>
      <c r="D282" s="1099"/>
      <c r="E282" s="1099"/>
      <c r="F282" s="1099"/>
      <c r="G282" s="1099"/>
      <c r="H282" s="1099"/>
      <c r="I282" s="1099"/>
      <c r="J282" s="1100"/>
      <c r="K282" s="1100"/>
      <c r="L282" s="1100"/>
      <c r="M282" s="1100"/>
      <c r="N282" s="1100"/>
      <c r="O282" s="1100"/>
      <c r="P282" s="1100"/>
    </row>
    <row r="283" spans="1:16" hidden="1">
      <c r="A283" s="1101">
        <v>2</v>
      </c>
      <c r="B283" s="1105" t="s">
        <v>1934</v>
      </c>
      <c r="C283" s="1099"/>
      <c r="D283" s="1099"/>
      <c r="E283" s="1099"/>
      <c r="F283" s="1099"/>
      <c r="G283" s="1099"/>
      <c r="H283" s="1099"/>
      <c r="I283" s="1099"/>
      <c r="J283" s="1100"/>
      <c r="K283" s="1100"/>
      <c r="L283" s="1100"/>
      <c r="M283" s="1100"/>
      <c r="N283" s="1100"/>
      <c r="O283" s="1100"/>
      <c r="P283" s="1100"/>
    </row>
    <row r="284" spans="1:16" hidden="1">
      <c r="A284" s="1101">
        <v>3</v>
      </c>
      <c r="B284" s="1105" t="s">
        <v>1935</v>
      </c>
      <c r="C284" s="1099"/>
      <c r="D284" s="1099"/>
      <c r="E284" s="1099"/>
      <c r="F284" s="1099"/>
      <c r="G284" s="1099"/>
      <c r="H284" s="1099"/>
      <c r="I284" s="1099"/>
      <c r="J284" s="1100"/>
      <c r="K284" s="1100"/>
      <c r="L284" s="1100"/>
      <c r="M284" s="1100"/>
      <c r="N284" s="1100"/>
      <c r="O284" s="1100"/>
      <c r="P284" s="1100"/>
    </row>
    <row r="285" spans="1:16" hidden="1">
      <c r="A285" s="1101">
        <v>4</v>
      </c>
      <c r="B285" s="1105" t="s">
        <v>1936</v>
      </c>
      <c r="C285" s="1099"/>
      <c r="D285" s="1099"/>
      <c r="E285" s="1099"/>
      <c r="F285" s="1099"/>
      <c r="G285" s="1099"/>
      <c r="H285" s="1099"/>
      <c r="I285" s="1099"/>
      <c r="J285" s="1100"/>
      <c r="K285" s="1100"/>
      <c r="L285" s="1100"/>
      <c r="M285" s="1100"/>
      <c r="N285" s="1100"/>
      <c r="O285" s="1100"/>
      <c r="P285" s="1100"/>
    </row>
    <row r="286" spans="1:16" hidden="1">
      <c r="A286" s="1101">
        <v>5</v>
      </c>
      <c r="B286" s="1105" t="s">
        <v>1937</v>
      </c>
      <c r="C286" s="1099"/>
      <c r="D286" s="1099"/>
      <c r="E286" s="1099"/>
      <c r="F286" s="1099"/>
      <c r="G286" s="1099"/>
      <c r="H286" s="1099"/>
      <c r="I286" s="1099"/>
      <c r="J286" s="1100"/>
      <c r="K286" s="1100"/>
      <c r="L286" s="1100"/>
      <c r="M286" s="1100"/>
      <c r="N286" s="1100"/>
      <c r="O286" s="1100"/>
      <c r="P286" s="1100"/>
    </row>
    <row r="287" spans="1:16" hidden="1">
      <c r="A287" s="1101">
        <v>6</v>
      </c>
      <c r="B287" s="1105" t="s">
        <v>1938</v>
      </c>
      <c r="C287" s="1099"/>
      <c r="D287" s="1099"/>
      <c r="E287" s="1099"/>
      <c r="F287" s="1099"/>
      <c r="G287" s="1099"/>
      <c r="H287" s="1099"/>
      <c r="I287" s="1099"/>
      <c r="J287" s="1100"/>
      <c r="K287" s="1100"/>
      <c r="L287" s="1100"/>
      <c r="M287" s="1100"/>
      <c r="N287" s="1100"/>
      <c r="O287" s="1100"/>
      <c r="P287" s="1100"/>
    </row>
    <row r="288" spans="1:16" hidden="1">
      <c r="A288" s="1101">
        <v>7</v>
      </c>
      <c r="B288" s="1105" t="s">
        <v>1939</v>
      </c>
      <c r="C288" s="1099"/>
      <c r="D288" s="1099"/>
      <c r="E288" s="1099"/>
      <c r="F288" s="1099"/>
      <c r="G288" s="1099"/>
      <c r="H288" s="1099"/>
      <c r="I288" s="1099"/>
      <c r="J288" s="1100"/>
      <c r="K288" s="1100"/>
      <c r="L288" s="1100"/>
      <c r="M288" s="1100"/>
      <c r="N288" s="1100"/>
      <c r="O288" s="1100"/>
      <c r="P288" s="1100"/>
    </row>
    <row r="289" spans="1:16" hidden="1">
      <c r="A289" s="1101">
        <v>8</v>
      </c>
      <c r="B289" s="1105" t="s">
        <v>1940</v>
      </c>
      <c r="C289" s="1099"/>
      <c r="D289" s="1099"/>
      <c r="E289" s="1099"/>
      <c r="F289" s="1099"/>
      <c r="G289" s="1099"/>
      <c r="H289" s="1099"/>
      <c r="I289" s="1099"/>
      <c r="J289" s="1100"/>
      <c r="K289" s="1100"/>
      <c r="L289" s="1100"/>
      <c r="M289" s="1100"/>
      <c r="N289" s="1100"/>
      <c r="O289" s="1100"/>
      <c r="P289" s="1100"/>
    </row>
    <row r="290" spans="1:16" hidden="1">
      <c r="A290" s="1101">
        <v>9</v>
      </c>
      <c r="B290" s="1105" t="s">
        <v>1941</v>
      </c>
      <c r="C290" s="1099"/>
      <c r="D290" s="1099"/>
      <c r="E290" s="1099"/>
      <c r="F290" s="1099"/>
      <c r="G290" s="1099"/>
      <c r="H290" s="1099"/>
      <c r="I290" s="1099"/>
      <c r="J290" s="1100"/>
      <c r="K290" s="1100"/>
      <c r="L290" s="1100"/>
      <c r="M290" s="1100"/>
      <c r="N290" s="1100"/>
      <c r="O290" s="1100"/>
      <c r="P290" s="1100"/>
    </row>
    <row r="291" spans="1:16" hidden="1">
      <c r="A291" s="1101">
        <v>10</v>
      </c>
      <c r="B291" s="1105" t="s">
        <v>1942</v>
      </c>
      <c r="C291" s="1099"/>
      <c r="D291" s="1099"/>
      <c r="E291" s="1099"/>
      <c r="F291" s="1099"/>
      <c r="G291" s="1099"/>
      <c r="H291" s="1099"/>
      <c r="I291" s="1099"/>
      <c r="J291" s="1100"/>
      <c r="K291" s="1100"/>
      <c r="L291" s="1100"/>
      <c r="M291" s="1100"/>
      <c r="N291" s="1100"/>
      <c r="O291" s="1100"/>
      <c r="P291" s="1100"/>
    </row>
    <row r="292" spans="1:16" hidden="1">
      <c r="A292" s="1101">
        <v>11</v>
      </c>
      <c r="B292" s="1105" t="s">
        <v>1943</v>
      </c>
      <c r="C292" s="1099"/>
      <c r="D292" s="1099"/>
      <c r="E292" s="1099"/>
      <c r="F292" s="1099"/>
      <c r="G292" s="1099"/>
      <c r="H292" s="1099"/>
      <c r="I292" s="1099"/>
      <c r="J292" s="1100"/>
      <c r="K292" s="1100"/>
      <c r="L292" s="1100"/>
      <c r="M292" s="1100"/>
      <c r="N292" s="1100"/>
      <c r="O292" s="1100"/>
      <c r="P292" s="1100"/>
    </row>
    <row r="293" spans="1:16" hidden="1">
      <c r="A293" s="1101">
        <v>12</v>
      </c>
      <c r="B293" s="1105" t="s">
        <v>1944</v>
      </c>
      <c r="C293" s="1099"/>
      <c r="D293" s="1099"/>
      <c r="E293" s="1099"/>
      <c r="F293" s="1099"/>
      <c r="G293" s="1099"/>
      <c r="H293" s="1099"/>
      <c r="I293" s="1099"/>
      <c r="J293" s="1100"/>
      <c r="K293" s="1100"/>
      <c r="L293" s="1100"/>
      <c r="M293" s="1100"/>
      <c r="N293" s="1100"/>
      <c r="O293" s="1100"/>
      <c r="P293" s="1100"/>
    </row>
    <row r="294" spans="1:16" hidden="1">
      <c r="A294" s="1101">
        <v>13</v>
      </c>
      <c r="B294" s="1105" t="s">
        <v>1945</v>
      </c>
      <c r="C294" s="1099"/>
      <c r="D294" s="1099"/>
      <c r="E294" s="1099"/>
      <c r="F294" s="1099"/>
      <c r="G294" s="1099"/>
      <c r="H294" s="1099"/>
      <c r="I294" s="1099"/>
      <c r="J294" s="1100"/>
      <c r="K294" s="1100"/>
      <c r="L294" s="1100"/>
      <c r="M294" s="1100"/>
      <c r="N294" s="1100"/>
      <c r="O294" s="1100"/>
      <c r="P294" s="1100"/>
    </row>
    <row r="295" spans="1:16" hidden="1">
      <c r="A295" s="1101">
        <v>14</v>
      </c>
      <c r="B295" s="1105" t="s">
        <v>1946</v>
      </c>
      <c r="C295" s="1099"/>
      <c r="D295" s="1099"/>
      <c r="E295" s="1099"/>
      <c r="F295" s="1099"/>
      <c r="G295" s="1099"/>
      <c r="H295" s="1099"/>
      <c r="I295" s="1099"/>
      <c r="J295" s="1100"/>
      <c r="K295" s="1100"/>
      <c r="L295" s="1100"/>
      <c r="M295" s="1100"/>
      <c r="N295" s="1100"/>
      <c r="O295" s="1100"/>
      <c r="P295" s="1100"/>
    </row>
    <row r="296" spans="1:16" hidden="1">
      <c r="A296" s="1101">
        <v>15</v>
      </c>
      <c r="B296" s="1105" t="s">
        <v>1947</v>
      </c>
      <c r="C296" s="1099"/>
      <c r="D296" s="1099"/>
      <c r="E296" s="1099"/>
      <c r="F296" s="1099"/>
      <c r="G296" s="1099"/>
      <c r="H296" s="1099"/>
      <c r="I296" s="1099"/>
      <c r="J296" s="1100"/>
      <c r="K296" s="1100"/>
      <c r="L296" s="1100"/>
      <c r="M296" s="1100"/>
      <c r="N296" s="1100"/>
      <c r="O296" s="1100"/>
      <c r="P296" s="1100"/>
    </row>
    <row r="297" spans="1:16" hidden="1">
      <c r="A297" s="1101">
        <v>16</v>
      </c>
      <c r="B297" s="1105" t="s">
        <v>1948</v>
      </c>
      <c r="C297" s="1099"/>
      <c r="D297" s="1099"/>
      <c r="E297" s="1099"/>
      <c r="F297" s="1099"/>
      <c r="G297" s="1099"/>
      <c r="H297" s="1099"/>
      <c r="I297" s="1099"/>
      <c r="J297" s="1100"/>
      <c r="K297" s="1100"/>
      <c r="L297" s="1100"/>
      <c r="M297" s="1100"/>
      <c r="N297" s="1100"/>
      <c r="O297" s="1100"/>
      <c r="P297" s="1100"/>
    </row>
    <row r="298" spans="1:16" hidden="1">
      <c r="A298" s="1101">
        <v>17</v>
      </c>
      <c r="B298" s="1105" t="s">
        <v>1949</v>
      </c>
      <c r="C298" s="1099"/>
      <c r="D298" s="1099"/>
      <c r="E298" s="1099"/>
      <c r="F298" s="1099"/>
      <c r="G298" s="1099"/>
      <c r="H298" s="1099"/>
      <c r="I298" s="1099"/>
      <c r="J298" s="1100"/>
      <c r="K298" s="1100"/>
      <c r="L298" s="1100"/>
      <c r="M298" s="1100"/>
      <c r="N298" s="1100"/>
      <c r="O298" s="1100"/>
      <c r="P298" s="1100"/>
    </row>
    <row r="299" spans="1:16" hidden="1">
      <c r="A299" s="1101">
        <v>18</v>
      </c>
      <c r="B299" s="1105" t="s">
        <v>1950</v>
      </c>
      <c r="C299" s="1099"/>
      <c r="D299" s="1099"/>
      <c r="E299" s="1099"/>
      <c r="F299" s="1099"/>
      <c r="G299" s="1099"/>
      <c r="H299" s="1099"/>
      <c r="I299" s="1099"/>
      <c r="J299" s="1100"/>
      <c r="K299" s="1100"/>
      <c r="L299" s="1100"/>
      <c r="M299" s="1100"/>
      <c r="N299" s="1100"/>
      <c r="O299" s="1100"/>
      <c r="P299" s="1100"/>
    </row>
    <row r="300" spans="1:16" hidden="1">
      <c r="A300" s="1101">
        <v>19</v>
      </c>
      <c r="B300" s="1105" t="s">
        <v>1951</v>
      </c>
      <c r="C300" s="1099"/>
      <c r="D300" s="1099"/>
      <c r="E300" s="1099"/>
      <c r="F300" s="1099"/>
      <c r="G300" s="1099"/>
      <c r="H300" s="1099"/>
      <c r="I300" s="1099"/>
      <c r="J300" s="1100"/>
      <c r="K300" s="1100"/>
      <c r="L300" s="1100"/>
      <c r="M300" s="1100"/>
      <c r="N300" s="1100"/>
      <c r="O300" s="1100"/>
      <c r="P300" s="1100"/>
    </row>
    <row r="301" spans="1:16" hidden="1">
      <c r="A301" s="1101">
        <v>20</v>
      </c>
      <c r="B301" s="1105" t="s">
        <v>1952</v>
      </c>
      <c r="C301" s="1099"/>
      <c r="D301" s="1099"/>
      <c r="E301" s="1099"/>
      <c r="F301" s="1099"/>
      <c r="G301" s="1099"/>
      <c r="H301" s="1099"/>
      <c r="I301" s="1099"/>
      <c r="J301" s="1100"/>
      <c r="K301" s="1100"/>
      <c r="L301" s="1100"/>
      <c r="M301" s="1100"/>
      <c r="N301" s="1100"/>
      <c r="O301" s="1100"/>
      <c r="P301" s="1100"/>
    </row>
    <row r="302" spans="1:16" hidden="1">
      <c r="A302" s="1101">
        <v>21</v>
      </c>
      <c r="B302" s="1105" t="s">
        <v>1953</v>
      </c>
      <c r="C302" s="1099"/>
      <c r="D302" s="1099"/>
      <c r="E302" s="1099"/>
      <c r="F302" s="1099"/>
      <c r="G302" s="1099"/>
      <c r="H302" s="1099"/>
      <c r="I302" s="1099"/>
      <c r="J302" s="1100"/>
      <c r="K302" s="1100"/>
      <c r="L302" s="1100"/>
      <c r="M302" s="1100"/>
      <c r="N302" s="1100"/>
      <c r="O302" s="1100"/>
      <c r="P302" s="1100"/>
    </row>
    <row r="303" spans="1:16" hidden="1">
      <c r="A303" s="1101">
        <v>22</v>
      </c>
      <c r="B303" s="1105" t="s">
        <v>1954</v>
      </c>
      <c r="C303" s="1099"/>
      <c r="D303" s="1099"/>
      <c r="E303" s="1099"/>
      <c r="F303" s="1099"/>
      <c r="G303" s="1099"/>
      <c r="H303" s="1099"/>
      <c r="I303" s="1099"/>
      <c r="J303" s="1100"/>
      <c r="K303" s="1100"/>
      <c r="L303" s="1100"/>
      <c r="M303" s="1100"/>
      <c r="N303" s="1100"/>
      <c r="O303" s="1100"/>
      <c r="P303" s="1100"/>
    </row>
    <row r="304" spans="1:16" hidden="1">
      <c r="A304" s="1101">
        <v>23</v>
      </c>
      <c r="B304" s="1105" t="s">
        <v>1955</v>
      </c>
      <c r="C304" s="1099"/>
      <c r="D304" s="1099"/>
      <c r="E304" s="1099"/>
      <c r="F304" s="1099"/>
      <c r="G304" s="1099"/>
      <c r="H304" s="1099"/>
      <c r="I304" s="1099"/>
      <c r="J304" s="1100"/>
      <c r="K304" s="1100"/>
      <c r="L304" s="1100"/>
      <c r="M304" s="1100"/>
      <c r="N304" s="1100"/>
      <c r="O304" s="1100"/>
      <c r="P304" s="1100"/>
    </row>
    <row r="305" spans="1:16" hidden="1">
      <c r="A305" s="1101">
        <v>24</v>
      </c>
      <c r="B305" s="1105" t="s">
        <v>1956</v>
      </c>
      <c r="C305" s="1099"/>
      <c r="D305" s="1099"/>
      <c r="E305" s="1099"/>
      <c r="F305" s="1099"/>
      <c r="G305" s="1099"/>
      <c r="H305" s="1099"/>
      <c r="I305" s="1099"/>
      <c r="J305" s="1100"/>
      <c r="K305" s="1100"/>
      <c r="L305" s="1100"/>
      <c r="M305" s="1100"/>
      <c r="N305" s="1100"/>
      <c r="O305" s="1100"/>
      <c r="P305" s="1100"/>
    </row>
    <row r="306" spans="1:16" hidden="1">
      <c r="A306" s="1101">
        <v>25</v>
      </c>
      <c r="B306" s="1105" t="s">
        <v>1957</v>
      </c>
      <c r="C306" s="1099"/>
      <c r="D306" s="1099"/>
      <c r="E306" s="1099"/>
      <c r="F306" s="1099"/>
      <c r="G306" s="1099"/>
      <c r="H306" s="1099"/>
      <c r="I306" s="1099"/>
      <c r="J306" s="1100"/>
      <c r="K306" s="1100"/>
      <c r="L306" s="1100"/>
      <c r="M306" s="1100"/>
      <c r="N306" s="1100"/>
      <c r="O306" s="1100"/>
      <c r="P306" s="1100"/>
    </row>
    <row r="307" spans="1:16" hidden="1">
      <c r="A307" s="1101">
        <v>26</v>
      </c>
      <c r="B307" s="1105" t="s">
        <v>1958</v>
      </c>
      <c r="C307" s="1099"/>
      <c r="D307" s="1099"/>
      <c r="E307" s="1099"/>
      <c r="F307" s="1099"/>
      <c r="G307" s="1099"/>
      <c r="H307" s="1099"/>
      <c r="I307" s="1099"/>
      <c r="J307" s="1100"/>
      <c r="K307" s="1100"/>
      <c r="L307" s="1100"/>
      <c r="M307" s="1100"/>
      <c r="N307" s="1100"/>
      <c r="O307" s="1100"/>
      <c r="P307" s="1100"/>
    </row>
    <row r="308" spans="1:16" hidden="1">
      <c r="A308" s="1101">
        <v>27</v>
      </c>
      <c r="B308" s="1105" t="s">
        <v>1959</v>
      </c>
      <c r="C308" s="1099"/>
      <c r="D308" s="1099"/>
      <c r="E308" s="1099"/>
      <c r="F308" s="1099"/>
      <c r="G308" s="1099"/>
      <c r="H308" s="1099"/>
      <c r="I308" s="1099"/>
      <c r="J308" s="1100"/>
      <c r="K308" s="1100"/>
      <c r="L308" s="1100"/>
      <c r="M308" s="1100"/>
      <c r="N308" s="1100"/>
      <c r="O308" s="1100"/>
      <c r="P308" s="1100"/>
    </row>
    <row r="309" spans="1:16" hidden="1">
      <c r="A309" s="1101">
        <v>28</v>
      </c>
      <c r="B309" s="1105" t="s">
        <v>1960</v>
      </c>
      <c r="C309" s="1099"/>
      <c r="D309" s="1099"/>
      <c r="E309" s="1099"/>
      <c r="F309" s="1099"/>
      <c r="G309" s="1099"/>
      <c r="H309" s="1099"/>
      <c r="I309" s="1099"/>
      <c r="J309" s="1100"/>
      <c r="K309" s="1100"/>
      <c r="L309" s="1100"/>
      <c r="M309" s="1100"/>
      <c r="N309" s="1100"/>
      <c r="O309" s="1100"/>
      <c r="P309" s="1100"/>
    </row>
    <row r="310" spans="1:16" hidden="1">
      <c r="A310" s="1101">
        <v>29</v>
      </c>
      <c r="B310" s="1105" t="s">
        <v>1961</v>
      </c>
      <c r="C310" s="1099"/>
      <c r="D310" s="1099"/>
      <c r="E310" s="1099"/>
      <c r="F310" s="1099"/>
      <c r="G310" s="1099"/>
      <c r="H310" s="1099"/>
      <c r="I310" s="1099"/>
      <c r="J310" s="1100"/>
      <c r="K310" s="1100"/>
      <c r="L310" s="1100"/>
      <c r="M310" s="1100"/>
      <c r="N310" s="1100"/>
      <c r="O310" s="1100"/>
      <c r="P310" s="1100"/>
    </row>
    <row r="311" spans="1:16" hidden="1">
      <c r="A311" s="1101">
        <v>30</v>
      </c>
      <c r="B311" s="1105" t="s">
        <v>1962</v>
      </c>
      <c r="C311" s="1099"/>
      <c r="D311" s="1099"/>
      <c r="E311" s="1099"/>
      <c r="F311" s="1099"/>
      <c r="G311" s="1099"/>
      <c r="H311" s="1099"/>
      <c r="I311" s="1099"/>
      <c r="J311" s="1100"/>
      <c r="K311" s="1100"/>
      <c r="L311" s="1100"/>
      <c r="M311" s="1100"/>
      <c r="N311" s="1100"/>
      <c r="O311" s="1100"/>
      <c r="P311" s="1100"/>
    </row>
    <row r="312" spans="1:16" hidden="1">
      <c r="A312" s="1101">
        <v>31</v>
      </c>
      <c r="B312" s="1105" t="s">
        <v>1963</v>
      </c>
      <c r="C312" s="1099"/>
      <c r="D312" s="1099"/>
      <c r="E312" s="1099"/>
      <c r="F312" s="1099"/>
      <c r="G312" s="1099"/>
      <c r="H312" s="1099"/>
      <c r="I312" s="1099"/>
      <c r="J312" s="1100"/>
      <c r="K312" s="1100"/>
      <c r="L312" s="1100"/>
      <c r="M312" s="1100"/>
      <c r="N312" s="1100"/>
      <c r="O312" s="1100"/>
      <c r="P312" s="1100"/>
    </row>
    <row r="313" spans="1:16" hidden="1">
      <c r="A313" s="1101">
        <v>32</v>
      </c>
      <c r="B313" s="1105" t="s">
        <v>1964</v>
      </c>
      <c r="C313" s="1099"/>
      <c r="D313" s="1099"/>
      <c r="E313" s="1099"/>
      <c r="F313" s="1099"/>
      <c r="G313" s="1099"/>
      <c r="H313" s="1099"/>
      <c r="I313" s="1099"/>
      <c r="J313" s="1100"/>
      <c r="K313" s="1100"/>
      <c r="L313" s="1100"/>
      <c r="M313" s="1100"/>
      <c r="N313" s="1100"/>
      <c r="O313" s="1100"/>
      <c r="P313" s="1100"/>
    </row>
    <row r="314" spans="1:16" hidden="1">
      <c r="A314" s="1101">
        <v>33</v>
      </c>
      <c r="B314" s="1105" t="s">
        <v>1965</v>
      </c>
      <c r="C314" s="1099"/>
      <c r="D314" s="1099"/>
      <c r="E314" s="1099"/>
      <c r="F314" s="1099"/>
      <c r="G314" s="1099"/>
      <c r="H314" s="1099"/>
      <c r="I314" s="1099"/>
      <c r="J314" s="1100"/>
      <c r="K314" s="1100"/>
      <c r="L314" s="1100"/>
      <c r="M314" s="1100"/>
      <c r="N314" s="1100"/>
      <c r="O314" s="1100"/>
      <c r="P314" s="1100"/>
    </row>
    <row r="315" spans="1:16" hidden="1">
      <c r="A315" s="1101">
        <v>34</v>
      </c>
      <c r="B315" s="1105" t="s">
        <v>1966</v>
      </c>
      <c r="C315" s="1099"/>
      <c r="D315" s="1099"/>
      <c r="E315" s="1099"/>
      <c r="F315" s="1099"/>
      <c r="G315" s="1099"/>
      <c r="H315" s="1099"/>
      <c r="I315" s="1099"/>
      <c r="J315" s="1100"/>
      <c r="K315" s="1100"/>
      <c r="L315" s="1100"/>
      <c r="M315" s="1100"/>
      <c r="N315" s="1100"/>
      <c r="O315" s="1100"/>
      <c r="P315" s="1100"/>
    </row>
    <row r="316" spans="1:16" hidden="1">
      <c r="A316" s="1101">
        <v>35</v>
      </c>
      <c r="B316" s="1110" t="s">
        <v>1967</v>
      </c>
      <c r="C316" s="1099"/>
      <c r="D316" s="1099"/>
      <c r="E316" s="1099"/>
      <c r="F316" s="1099"/>
      <c r="G316" s="1099"/>
      <c r="H316" s="1099"/>
      <c r="I316" s="1099"/>
      <c r="J316" s="1100"/>
      <c r="K316" s="1100"/>
      <c r="L316" s="1100"/>
      <c r="M316" s="1100"/>
      <c r="N316" s="1100"/>
      <c r="O316" s="1100"/>
      <c r="P316" s="1100"/>
    </row>
    <row r="317" spans="1:16" hidden="1">
      <c r="A317" s="1101">
        <v>36</v>
      </c>
      <c r="B317" s="1110" t="s">
        <v>1968</v>
      </c>
      <c r="C317" s="1099"/>
      <c r="D317" s="1099"/>
      <c r="E317" s="1099"/>
      <c r="F317" s="1099"/>
      <c r="G317" s="1099"/>
      <c r="H317" s="1099"/>
      <c r="I317" s="1099"/>
      <c r="J317" s="1100"/>
      <c r="K317" s="1100"/>
      <c r="L317" s="1100"/>
      <c r="M317" s="1100"/>
      <c r="N317" s="1100"/>
      <c r="O317" s="1100"/>
      <c r="P317" s="1100"/>
    </row>
    <row r="318" spans="1:16" hidden="1">
      <c r="A318" s="1101">
        <v>37</v>
      </c>
      <c r="B318" s="1110" t="s">
        <v>1969</v>
      </c>
      <c r="C318" s="1099"/>
      <c r="D318" s="1099"/>
      <c r="E318" s="1099"/>
      <c r="F318" s="1099"/>
      <c r="G318" s="1099"/>
      <c r="H318" s="1099"/>
      <c r="I318" s="1099"/>
      <c r="J318" s="1100"/>
      <c r="K318" s="1100"/>
      <c r="L318" s="1100"/>
      <c r="M318" s="1100"/>
      <c r="N318" s="1100"/>
      <c r="O318" s="1100"/>
      <c r="P318" s="1100"/>
    </row>
    <row r="319" spans="1:16" hidden="1">
      <c r="A319" s="1101"/>
      <c r="B319" s="1110"/>
      <c r="C319" s="1099"/>
      <c r="D319" s="1099"/>
      <c r="E319" s="1099"/>
      <c r="F319" s="1099"/>
      <c r="G319" s="1099"/>
      <c r="H319" s="1099"/>
      <c r="I319" s="1099"/>
      <c r="J319" s="1100"/>
      <c r="K319" s="1100"/>
      <c r="L319" s="1100"/>
      <c r="M319" s="1100"/>
      <c r="N319" s="1100"/>
      <c r="O319" s="1100"/>
      <c r="P319" s="1100"/>
    </row>
    <row r="320" spans="1:16" hidden="1">
      <c r="A320" s="1101"/>
      <c r="B320" s="1105" t="s">
        <v>153</v>
      </c>
      <c r="C320" s="1099"/>
      <c r="D320" s="1099"/>
      <c r="E320" s="1099"/>
      <c r="F320" s="1099"/>
      <c r="G320" s="1099"/>
      <c r="H320" s="1099"/>
      <c r="I320" s="1099"/>
      <c r="J320" s="1100"/>
      <c r="K320" s="1100"/>
      <c r="L320" s="1100"/>
      <c r="M320" s="1100"/>
      <c r="N320" s="1100"/>
      <c r="O320" s="1100"/>
      <c r="P320" s="1100"/>
    </row>
    <row r="321" spans="1:16" hidden="1">
      <c r="A321" s="1101"/>
      <c r="B321" s="1105"/>
      <c r="C321" s="1099"/>
      <c r="D321" s="1099"/>
      <c r="E321" s="1099"/>
      <c r="F321" s="1099"/>
      <c r="G321" s="1099"/>
      <c r="H321" s="1099"/>
      <c r="I321" s="1099"/>
      <c r="J321" s="1100"/>
      <c r="K321" s="1100"/>
      <c r="L321" s="1100"/>
      <c r="M321" s="1100"/>
      <c r="N321" s="1100"/>
      <c r="O321" s="1100"/>
      <c r="P321" s="1100"/>
    </row>
    <row r="322" spans="1:16" hidden="1">
      <c r="A322" s="1101" t="s">
        <v>22</v>
      </c>
      <c r="B322" s="1105" t="s">
        <v>1322</v>
      </c>
      <c r="C322" s="1099"/>
      <c r="D322" s="1099"/>
      <c r="E322" s="1099"/>
      <c r="F322" s="1099"/>
      <c r="G322" s="1099"/>
      <c r="H322" s="1099"/>
      <c r="I322" s="1099"/>
      <c r="J322" s="1100"/>
      <c r="K322" s="1100"/>
      <c r="L322" s="1100"/>
      <c r="M322" s="1100"/>
      <c r="N322" s="1100"/>
      <c r="O322" s="1100"/>
      <c r="P322" s="1100"/>
    </row>
    <row r="323" spans="1:16" hidden="1">
      <c r="A323" s="1101">
        <v>1</v>
      </c>
      <c r="B323" s="1105" t="s">
        <v>1322</v>
      </c>
      <c r="C323" s="1099"/>
      <c r="D323" s="1099"/>
      <c r="E323" s="1099"/>
      <c r="F323" s="1099"/>
      <c r="G323" s="1099"/>
      <c r="H323" s="1099"/>
      <c r="I323" s="1099"/>
      <c r="J323" s="1100"/>
      <c r="K323" s="1100"/>
      <c r="L323" s="1100"/>
      <c r="M323" s="1100"/>
      <c r="N323" s="1100"/>
      <c r="O323" s="1100"/>
      <c r="P323" s="1100"/>
    </row>
    <row r="324" spans="1:16" hidden="1">
      <c r="A324" s="1101">
        <v>2</v>
      </c>
      <c r="B324" s="1105" t="s">
        <v>1970</v>
      </c>
      <c r="C324" s="1099"/>
      <c r="D324" s="1099"/>
      <c r="E324" s="1099"/>
      <c r="F324" s="1099"/>
      <c r="G324" s="1099"/>
      <c r="H324" s="1099"/>
      <c r="I324" s="1099"/>
      <c r="J324" s="1100"/>
      <c r="K324" s="1100"/>
      <c r="L324" s="1100"/>
      <c r="M324" s="1100"/>
      <c r="N324" s="1100"/>
      <c r="O324" s="1100"/>
      <c r="P324" s="1100"/>
    </row>
    <row r="325" spans="1:16" hidden="1">
      <c r="A325" s="1101">
        <v>3</v>
      </c>
      <c r="B325" s="1105" t="s">
        <v>1323</v>
      </c>
      <c r="C325" s="1099"/>
      <c r="D325" s="1099"/>
      <c r="E325" s="1099"/>
      <c r="F325" s="1099"/>
      <c r="G325" s="1099"/>
      <c r="H325" s="1099"/>
      <c r="I325" s="1099"/>
      <c r="J325" s="1100"/>
      <c r="K325" s="1100"/>
      <c r="L325" s="1100"/>
      <c r="M325" s="1100"/>
      <c r="N325" s="1100"/>
      <c r="O325" s="1100"/>
      <c r="P325" s="1100"/>
    </row>
    <row r="326" spans="1:16" hidden="1">
      <c r="A326" s="1101">
        <v>4</v>
      </c>
      <c r="B326" s="1105" t="s">
        <v>1971</v>
      </c>
      <c r="C326" s="1099"/>
      <c r="D326" s="1099"/>
      <c r="E326" s="1099"/>
      <c r="F326" s="1099"/>
      <c r="G326" s="1099"/>
      <c r="H326" s="1099"/>
      <c r="I326" s="1099"/>
      <c r="J326" s="1100"/>
      <c r="K326" s="1100"/>
      <c r="L326" s="1100"/>
      <c r="M326" s="1100"/>
      <c r="N326" s="1100"/>
      <c r="O326" s="1100"/>
      <c r="P326" s="1100"/>
    </row>
    <row r="327" spans="1:16" hidden="1">
      <c r="A327" s="1101">
        <v>5</v>
      </c>
      <c r="B327" s="1105" t="s">
        <v>1972</v>
      </c>
      <c r="C327" s="1099"/>
      <c r="D327" s="1099"/>
      <c r="E327" s="1099"/>
      <c r="F327" s="1099"/>
      <c r="G327" s="1099"/>
      <c r="H327" s="1099"/>
      <c r="I327" s="1099"/>
      <c r="J327" s="1100"/>
      <c r="K327" s="1100"/>
      <c r="L327" s="1100"/>
      <c r="M327" s="1100"/>
      <c r="N327" s="1100"/>
      <c r="O327" s="1100"/>
      <c r="P327" s="1100"/>
    </row>
    <row r="328" spans="1:16" hidden="1">
      <c r="A328" s="1101">
        <v>6</v>
      </c>
      <c r="B328" s="1105" t="s">
        <v>1973</v>
      </c>
      <c r="C328" s="1099"/>
      <c r="D328" s="1099"/>
      <c r="E328" s="1099"/>
      <c r="F328" s="1099"/>
      <c r="G328" s="1099"/>
      <c r="H328" s="1099"/>
      <c r="I328" s="1099"/>
      <c r="J328" s="1100"/>
      <c r="K328" s="1100"/>
      <c r="L328" s="1100"/>
      <c r="M328" s="1100"/>
      <c r="N328" s="1100"/>
      <c r="O328" s="1100"/>
      <c r="P328" s="1100"/>
    </row>
    <row r="329" spans="1:16" hidden="1">
      <c r="A329" s="1101"/>
      <c r="B329" s="1105" t="s">
        <v>153</v>
      </c>
      <c r="C329" s="1099"/>
      <c r="D329" s="1099"/>
      <c r="E329" s="1099"/>
      <c r="F329" s="1099"/>
      <c r="G329" s="1099"/>
      <c r="H329" s="1099"/>
      <c r="I329" s="1099"/>
      <c r="J329" s="1100"/>
      <c r="K329" s="1100"/>
      <c r="L329" s="1100"/>
      <c r="M329" s="1100"/>
      <c r="N329" s="1100"/>
      <c r="O329" s="1100"/>
      <c r="P329" s="1100"/>
    </row>
    <row r="330" spans="1:16" hidden="1">
      <c r="A330" s="1101"/>
      <c r="B330" s="1105"/>
      <c r="C330" s="1099"/>
      <c r="D330" s="1099"/>
      <c r="E330" s="1099"/>
      <c r="F330" s="1099"/>
      <c r="G330" s="1099"/>
      <c r="H330" s="1099"/>
      <c r="I330" s="1099"/>
      <c r="J330" s="1100"/>
      <c r="K330" s="1100"/>
      <c r="L330" s="1100"/>
      <c r="M330" s="1100"/>
      <c r="N330" s="1100"/>
      <c r="O330" s="1100"/>
      <c r="P330" s="1100"/>
    </row>
    <row r="331" spans="1:16" hidden="1">
      <c r="A331" s="1106" t="s">
        <v>23</v>
      </c>
      <c r="B331" s="1105" t="s">
        <v>1325</v>
      </c>
      <c r="C331" s="1099"/>
      <c r="D331" s="1099"/>
      <c r="E331" s="1099"/>
      <c r="F331" s="1099"/>
      <c r="G331" s="1099"/>
      <c r="H331" s="1099"/>
      <c r="I331" s="1099"/>
      <c r="J331" s="1100"/>
      <c r="K331" s="1100"/>
      <c r="L331" s="1100"/>
      <c r="M331" s="1100"/>
      <c r="N331" s="1100"/>
      <c r="O331" s="1100"/>
      <c r="P331" s="1100"/>
    </row>
    <row r="332" spans="1:16" hidden="1">
      <c r="A332" s="1101">
        <v>1</v>
      </c>
      <c r="B332" s="1105" t="s">
        <v>1325</v>
      </c>
      <c r="C332" s="1099"/>
      <c r="D332" s="1099"/>
      <c r="E332" s="1099"/>
      <c r="F332" s="1099"/>
      <c r="G332" s="1099"/>
      <c r="H332" s="1099"/>
      <c r="I332" s="1099"/>
      <c r="J332" s="1100"/>
      <c r="K332" s="1100"/>
      <c r="L332" s="1100"/>
      <c r="M332" s="1100"/>
      <c r="N332" s="1100"/>
      <c r="O332" s="1100"/>
      <c r="P332" s="1100"/>
    </row>
    <row r="333" spans="1:16" hidden="1">
      <c r="A333" s="1101">
        <v>2</v>
      </c>
      <c r="B333" s="1105" t="s">
        <v>1974</v>
      </c>
      <c r="C333" s="1099"/>
      <c r="D333" s="1099"/>
      <c r="E333" s="1099"/>
      <c r="F333" s="1099"/>
      <c r="G333" s="1099"/>
      <c r="H333" s="1099"/>
      <c r="I333" s="1099"/>
      <c r="J333" s="1100"/>
      <c r="K333" s="1100"/>
      <c r="L333" s="1100"/>
      <c r="M333" s="1100"/>
      <c r="N333" s="1100"/>
      <c r="O333" s="1100"/>
      <c r="P333" s="1100"/>
    </row>
    <row r="334" spans="1:16" hidden="1">
      <c r="A334" s="1101">
        <v>3</v>
      </c>
      <c r="B334" s="1105" t="s">
        <v>1975</v>
      </c>
      <c r="C334" s="1099"/>
      <c r="D334" s="1099"/>
      <c r="E334" s="1099"/>
      <c r="F334" s="1099"/>
      <c r="G334" s="1099"/>
      <c r="H334" s="1099"/>
      <c r="I334" s="1099"/>
      <c r="J334" s="1100"/>
      <c r="K334" s="1100"/>
      <c r="L334" s="1100"/>
      <c r="M334" s="1100"/>
      <c r="N334" s="1100"/>
      <c r="O334" s="1100"/>
      <c r="P334" s="1100"/>
    </row>
    <row r="335" spans="1:16" hidden="1">
      <c r="A335" s="1101">
        <v>4</v>
      </c>
      <c r="B335" s="1105" t="s">
        <v>1976</v>
      </c>
      <c r="C335" s="1099"/>
      <c r="D335" s="1099"/>
      <c r="E335" s="1099"/>
      <c r="F335" s="1099"/>
      <c r="G335" s="1099"/>
      <c r="H335" s="1099"/>
      <c r="I335" s="1099"/>
      <c r="J335" s="1111"/>
      <c r="K335" s="1111"/>
      <c r="L335" s="1111"/>
      <c r="M335" s="1111"/>
      <c r="N335" s="1111"/>
      <c r="O335" s="1111"/>
      <c r="P335" s="1111"/>
    </row>
    <row r="336" spans="1:16" hidden="1">
      <c r="A336" s="1101">
        <v>5</v>
      </c>
      <c r="B336" s="1105" t="s">
        <v>1977</v>
      </c>
      <c r="C336" s="1099"/>
      <c r="D336" s="1099"/>
      <c r="E336" s="1099"/>
      <c r="F336" s="1099"/>
      <c r="G336" s="1099"/>
      <c r="H336" s="1099"/>
      <c r="I336" s="1099"/>
      <c r="J336" s="1100"/>
      <c r="K336" s="1100"/>
      <c r="L336" s="1100"/>
      <c r="M336" s="1100"/>
      <c r="N336" s="1100"/>
      <c r="O336" s="1100"/>
      <c r="P336" s="1100"/>
    </row>
    <row r="337" spans="1:16" hidden="1">
      <c r="A337" s="1101">
        <v>6</v>
      </c>
      <c r="B337" s="1105" t="s">
        <v>1978</v>
      </c>
      <c r="C337" s="1100"/>
      <c r="D337" s="1100"/>
      <c r="E337" s="1100"/>
      <c r="F337" s="1100"/>
      <c r="G337" s="1100"/>
      <c r="H337" s="1100"/>
      <c r="I337" s="1100"/>
      <c r="J337" s="1100"/>
      <c r="K337" s="1100"/>
      <c r="L337" s="1100"/>
      <c r="M337" s="1100"/>
      <c r="N337" s="1100"/>
      <c r="O337" s="1100"/>
      <c r="P337" s="1100"/>
    </row>
    <row r="338" spans="1:16" hidden="1">
      <c r="A338" s="1101">
        <v>7</v>
      </c>
      <c r="B338" s="1105" t="s">
        <v>1979</v>
      </c>
      <c r="C338" s="1100"/>
      <c r="D338" s="1100"/>
      <c r="E338" s="1100"/>
      <c r="F338" s="1100"/>
      <c r="G338" s="1100"/>
      <c r="H338" s="1100"/>
      <c r="I338" s="1100"/>
      <c r="J338" s="1100"/>
      <c r="K338" s="1100"/>
      <c r="L338" s="1100"/>
      <c r="M338" s="1100"/>
      <c r="N338" s="1100"/>
      <c r="O338" s="1100"/>
      <c r="P338" s="1100"/>
    </row>
    <row r="339" spans="1:16" hidden="1">
      <c r="A339" s="1101">
        <v>8</v>
      </c>
      <c r="B339" s="1105" t="s">
        <v>1980</v>
      </c>
      <c r="C339" s="1100"/>
      <c r="D339" s="1100"/>
      <c r="E339" s="1100"/>
      <c r="F339" s="1100"/>
      <c r="G339" s="1100"/>
      <c r="H339" s="1100"/>
      <c r="I339" s="1100"/>
      <c r="J339" s="1100"/>
      <c r="K339" s="1100"/>
      <c r="L339" s="1100"/>
      <c r="M339" s="1100"/>
      <c r="N339" s="1100"/>
      <c r="O339" s="1100"/>
      <c r="P339" s="1100"/>
    </row>
    <row r="340" spans="1:16" hidden="1">
      <c r="A340" s="1101">
        <v>9</v>
      </c>
      <c r="B340" s="1105" t="s">
        <v>1981</v>
      </c>
      <c r="C340" s="1100"/>
      <c r="D340" s="1100"/>
      <c r="E340" s="1100"/>
      <c r="F340" s="1100"/>
      <c r="G340" s="1100"/>
      <c r="H340" s="1100"/>
      <c r="I340" s="1100"/>
      <c r="J340" s="1100"/>
      <c r="K340" s="1100"/>
      <c r="L340" s="1100"/>
      <c r="M340" s="1100"/>
      <c r="N340" s="1100"/>
      <c r="O340" s="1100"/>
      <c r="P340" s="1100"/>
    </row>
    <row r="341" spans="1:16" hidden="1">
      <c r="A341" s="1101">
        <v>10</v>
      </c>
      <c r="B341" s="1105" t="s">
        <v>1982</v>
      </c>
      <c r="C341" s="1100"/>
      <c r="D341" s="1100"/>
      <c r="E341" s="1100"/>
      <c r="F341" s="1100"/>
      <c r="G341" s="1100"/>
      <c r="H341" s="1100"/>
      <c r="I341" s="1100"/>
      <c r="J341" s="1100"/>
      <c r="K341" s="1100"/>
      <c r="L341" s="1100"/>
      <c r="M341" s="1100"/>
      <c r="N341" s="1100"/>
      <c r="O341" s="1100"/>
      <c r="P341" s="1100"/>
    </row>
    <row r="342" spans="1:16" hidden="1">
      <c r="A342" s="1101">
        <v>11</v>
      </c>
      <c r="B342" s="1105" t="s">
        <v>1983</v>
      </c>
      <c r="C342" s="1100"/>
      <c r="D342" s="1100"/>
      <c r="E342" s="1100"/>
      <c r="F342" s="1100"/>
      <c r="G342" s="1100"/>
      <c r="H342" s="1100"/>
      <c r="I342" s="1100"/>
      <c r="J342" s="1100"/>
      <c r="K342" s="1100"/>
      <c r="L342" s="1100"/>
      <c r="M342" s="1100"/>
      <c r="N342" s="1100"/>
      <c r="O342" s="1100"/>
      <c r="P342" s="1100"/>
    </row>
    <row r="343" spans="1:16" hidden="1">
      <c r="A343" s="1101">
        <v>12</v>
      </c>
      <c r="B343" s="1105" t="s">
        <v>1984</v>
      </c>
      <c r="C343" s="1100"/>
      <c r="D343" s="1100"/>
      <c r="E343" s="1100"/>
      <c r="F343" s="1100"/>
      <c r="G343" s="1100"/>
      <c r="H343" s="1100"/>
      <c r="I343" s="1100"/>
      <c r="J343" s="1100"/>
      <c r="K343" s="1100"/>
      <c r="L343" s="1100"/>
      <c r="M343" s="1100"/>
      <c r="N343" s="1100"/>
      <c r="O343" s="1100"/>
      <c r="P343" s="1100"/>
    </row>
    <row r="344" spans="1:16" hidden="1">
      <c r="A344" s="1101">
        <v>13</v>
      </c>
      <c r="B344" s="1105" t="s">
        <v>1985</v>
      </c>
      <c r="C344" s="1100"/>
      <c r="D344" s="1100"/>
      <c r="E344" s="1100"/>
      <c r="F344" s="1100"/>
      <c r="G344" s="1100"/>
      <c r="H344" s="1100"/>
      <c r="I344" s="1100"/>
      <c r="J344" s="1100"/>
      <c r="K344" s="1100"/>
      <c r="L344" s="1100"/>
      <c r="M344" s="1100"/>
      <c r="N344" s="1100"/>
      <c r="O344" s="1100"/>
      <c r="P344" s="1100"/>
    </row>
    <row r="345" spans="1:16" hidden="1">
      <c r="A345" s="1101"/>
      <c r="B345" s="1105" t="s">
        <v>153</v>
      </c>
      <c r="C345" s="1100"/>
      <c r="D345" s="1100"/>
      <c r="E345" s="1100"/>
      <c r="F345" s="1100"/>
      <c r="G345" s="1100"/>
      <c r="H345" s="1100"/>
      <c r="I345" s="1100"/>
      <c r="J345" s="1111"/>
      <c r="K345" s="1111"/>
      <c r="L345" s="1111"/>
      <c r="M345" s="1111"/>
      <c r="N345" s="1111"/>
      <c r="O345" s="1111"/>
      <c r="P345" s="1111"/>
    </row>
    <row r="346" spans="1:16" hidden="1">
      <c r="A346" s="1101"/>
      <c r="B346" s="1105"/>
      <c r="C346" s="1100"/>
      <c r="D346" s="1100"/>
      <c r="E346" s="1100"/>
      <c r="F346" s="1100"/>
      <c r="G346" s="1100"/>
      <c r="H346" s="1100"/>
      <c r="I346" s="1100"/>
      <c r="J346" s="1111"/>
      <c r="K346" s="1111"/>
      <c r="L346" s="1111"/>
      <c r="M346" s="1111"/>
      <c r="N346" s="1111"/>
      <c r="O346" s="1111"/>
      <c r="P346" s="1111"/>
    </row>
    <row r="347" spans="1:16" hidden="1">
      <c r="A347" s="1101" t="s">
        <v>24</v>
      </c>
      <c r="B347" s="1105" t="s">
        <v>1467</v>
      </c>
      <c r="C347" s="1100"/>
      <c r="D347" s="1100"/>
      <c r="E347" s="1100"/>
      <c r="F347" s="1100"/>
      <c r="G347" s="1100"/>
      <c r="H347" s="1100"/>
      <c r="I347" s="1100"/>
      <c r="J347" s="1111"/>
      <c r="K347" s="1111"/>
      <c r="L347" s="1111"/>
      <c r="M347" s="1111"/>
      <c r="N347" s="1111"/>
      <c r="O347" s="1111"/>
      <c r="P347" s="1111"/>
    </row>
    <row r="348" spans="1:16" hidden="1">
      <c r="A348" s="1101">
        <v>1</v>
      </c>
      <c r="B348" s="1105" t="s">
        <v>1467</v>
      </c>
      <c r="C348" s="1100"/>
      <c r="D348" s="1100"/>
      <c r="E348" s="1100"/>
      <c r="F348" s="1100"/>
      <c r="G348" s="1100"/>
      <c r="H348" s="1100"/>
      <c r="I348" s="1100"/>
      <c r="J348" s="1111"/>
      <c r="K348" s="1111"/>
      <c r="L348" s="1111"/>
      <c r="M348" s="1111"/>
      <c r="N348" s="1111"/>
      <c r="O348" s="1111"/>
      <c r="P348" s="1111"/>
    </row>
    <row r="349" spans="1:16" hidden="1">
      <c r="A349" s="1101">
        <v>2</v>
      </c>
      <c r="B349" s="1105" t="s">
        <v>1986</v>
      </c>
      <c r="C349" s="1100"/>
      <c r="D349" s="1100"/>
      <c r="E349" s="1100"/>
      <c r="F349" s="1100"/>
      <c r="G349" s="1100"/>
      <c r="H349" s="1100"/>
      <c r="I349" s="1100"/>
      <c r="J349" s="1111"/>
      <c r="K349" s="1111"/>
      <c r="L349" s="1111"/>
      <c r="M349" s="1111"/>
      <c r="N349" s="1111"/>
      <c r="O349" s="1111"/>
      <c r="P349" s="1111"/>
    </row>
    <row r="350" spans="1:16" hidden="1">
      <c r="A350" s="1101"/>
      <c r="B350" s="1105"/>
      <c r="C350" s="1100"/>
      <c r="D350" s="1100"/>
      <c r="E350" s="1100"/>
      <c r="F350" s="1100"/>
      <c r="G350" s="1100"/>
      <c r="H350" s="1100"/>
      <c r="I350" s="1100"/>
      <c r="J350" s="1111"/>
      <c r="K350" s="1111"/>
      <c r="L350" s="1111"/>
      <c r="M350" s="1111"/>
      <c r="N350" s="1111"/>
      <c r="O350" s="1111"/>
      <c r="P350" s="1111"/>
    </row>
    <row r="351" spans="1:16" hidden="1">
      <c r="A351" s="1101"/>
      <c r="B351" s="1105"/>
      <c r="C351" s="1100"/>
      <c r="D351" s="1100"/>
      <c r="E351" s="1100"/>
      <c r="F351" s="1100"/>
      <c r="G351" s="1100"/>
      <c r="H351" s="1100"/>
      <c r="I351" s="1100"/>
      <c r="J351" s="1111"/>
      <c r="K351" s="1111"/>
      <c r="L351" s="1111"/>
      <c r="M351" s="1111"/>
      <c r="N351" s="1111"/>
      <c r="O351" s="1111"/>
      <c r="P351" s="1111"/>
    </row>
    <row r="352" spans="1:16" hidden="1">
      <c r="A352" s="1101"/>
      <c r="B352" s="1105" t="s">
        <v>153</v>
      </c>
      <c r="C352" s="1100"/>
      <c r="D352" s="1100"/>
      <c r="E352" s="1100"/>
      <c r="F352" s="1100"/>
      <c r="G352" s="1100"/>
      <c r="H352" s="1100"/>
      <c r="I352" s="1100"/>
      <c r="J352" s="1111"/>
      <c r="K352" s="1111"/>
      <c r="L352" s="1111"/>
      <c r="M352" s="1111"/>
      <c r="N352" s="1111"/>
      <c r="O352" s="1111"/>
      <c r="P352" s="1111"/>
    </row>
    <row r="353" spans="1:147" hidden="1">
      <c r="A353" s="1101"/>
      <c r="B353" s="1105"/>
      <c r="C353" s="1100"/>
      <c r="D353" s="1100"/>
      <c r="E353" s="1100"/>
      <c r="F353" s="1100"/>
      <c r="G353" s="1100"/>
      <c r="H353" s="1100"/>
      <c r="I353" s="1100"/>
      <c r="J353" s="1100"/>
      <c r="K353" s="1100"/>
      <c r="L353" s="1100"/>
      <c r="M353" s="1100"/>
      <c r="N353" s="1100"/>
      <c r="O353" s="1100"/>
      <c r="P353" s="1100"/>
      <c r="Q353" s="1112"/>
      <c r="R353" s="1112"/>
      <c r="S353" s="1112"/>
      <c r="T353" s="1112"/>
      <c r="AJ353" s="1112"/>
      <c r="AK353" s="1112"/>
      <c r="AL353" s="1112"/>
      <c r="AM353" s="1112"/>
      <c r="AN353" s="1112"/>
      <c r="AO353" s="1112"/>
      <c r="AP353" s="1112"/>
      <c r="AQ353" s="1112"/>
      <c r="AR353" s="1112"/>
      <c r="AS353" s="1112"/>
      <c r="AT353" s="1112"/>
      <c r="AU353" s="1112"/>
      <c r="AV353" s="1112"/>
      <c r="AW353" s="1112"/>
      <c r="AX353" s="1112"/>
      <c r="AY353" s="1112"/>
      <c r="AZ353" s="1112"/>
      <c r="BA353" s="1112"/>
      <c r="BB353" s="1112"/>
      <c r="BC353" s="1112"/>
      <c r="BD353" s="1112"/>
      <c r="BE353" s="1112"/>
      <c r="BF353" s="1112"/>
      <c r="BG353" s="1112"/>
      <c r="BH353" s="1112"/>
      <c r="BI353" s="1112"/>
      <c r="BJ353" s="1112"/>
      <c r="BK353" s="1113"/>
      <c r="BL353" s="1113"/>
      <c r="BM353" s="1113"/>
      <c r="BN353" s="1113"/>
      <c r="BO353" s="1113"/>
      <c r="BP353" s="1113"/>
      <c r="BQ353" s="1113"/>
      <c r="BR353" s="1113"/>
      <c r="BS353" s="1113"/>
      <c r="BT353" s="1113"/>
      <c r="BU353" s="1113"/>
      <c r="BV353" s="1113"/>
      <c r="BW353" s="1113"/>
      <c r="BX353" s="1113"/>
      <c r="BY353" s="1113"/>
      <c r="BZ353" s="1113"/>
      <c r="CA353" s="1113"/>
      <c r="CB353" s="1113"/>
      <c r="CC353" s="1113"/>
      <c r="CD353" s="1113"/>
      <c r="CE353" s="1113"/>
      <c r="CF353" s="1113"/>
      <c r="CG353" s="1113"/>
      <c r="CH353" s="1113"/>
      <c r="CI353" s="1113"/>
      <c r="CJ353" s="1113"/>
      <c r="CK353" s="1113"/>
      <c r="CL353" s="1113"/>
      <c r="CM353" s="1113"/>
      <c r="CN353" s="1113"/>
      <c r="CO353" s="1113"/>
      <c r="CP353" s="1113"/>
      <c r="CQ353" s="1113"/>
      <c r="CR353" s="1113"/>
      <c r="CS353" s="1113"/>
      <c r="CT353" s="1113"/>
      <c r="CU353" s="1113"/>
      <c r="CV353" s="1113"/>
      <c r="CW353" s="1113"/>
      <c r="CX353" s="1113"/>
      <c r="CY353" s="1113"/>
      <c r="CZ353" s="1113"/>
      <c r="DA353" s="1113"/>
      <c r="DB353" s="1113"/>
      <c r="DC353" s="1113"/>
      <c r="DD353" s="1113"/>
      <c r="DE353" s="1113"/>
      <c r="DF353" s="1113"/>
      <c r="DG353" s="1113"/>
      <c r="DH353" s="1113"/>
      <c r="DI353" s="1113"/>
      <c r="DJ353" s="1113"/>
      <c r="DK353" s="1113"/>
      <c r="DL353" s="1113"/>
      <c r="DM353" s="1113"/>
      <c r="DN353" s="1113"/>
      <c r="DO353" s="1113"/>
      <c r="DP353" s="1113"/>
      <c r="DQ353" s="1113"/>
      <c r="DR353" s="1113"/>
      <c r="DS353" s="1113"/>
      <c r="DT353" s="1113"/>
      <c r="DU353" s="1113"/>
      <c r="DV353" s="1113"/>
      <c r="DW353" s="1113"/>
      <c r="DX353" s="1113"/>
      <c r="DY353" s="1113"/>
      <c r="DZ353" s="1113"/>
      <c r="EA353" s="1113"/>
      <c r="EB353" s="1113"/>
      <c r="EC353" s="1113"/>
      <c r="ED353" s="1113"/>
      <c r="EE353" s="1113"/>
      <c r="EF353" s="1113"/>
      <c r="EG353" s="1113"/>
      <c r="EH353" s="1113"/>
      <c r="EI353" s="1113"/>
      <c r="EJ353" s="1113"/>
      <c r="EK353" s="1113"/>
      <c r="EL353" s="1113"/>
      <c r="EM353" s="1113"/>
      <c r="EN353" s="1113"/>
      <c r="EO353" s="1113"/>
      <c r="EP353" s="1113"/>
      <c r="EQ353" s="1114"/>
    </row>
    <row r="354" spans="1:147" hidden="1">
      <c r="A354" s="1101" t="s">
        <v>26</v>
      </c>
      <c r="B354" s="1105" t="s">
        <v>1468</v>
      </c>
      <c r="C354" s="1100"/>
      <c r="D354" s="1100"/>
      <c r="E354" s="1100"/>
      <c r="F354" s="1100"/>
      <c r="G354" s="1100"/>
      <c r="H354" s="1100"/>
      <c r="I354" s="1100"/>
      <c r="J354" s="1100"/>
      <c r="K354" s="1100"/>
      <c r="L354" s="1100"/>
      <c r="M354" s="1100"/>
      <c r="N354" s="1100"/>
      <c r="O354" s="1100"/>
      <c r="P354" s="1100"/>
      <c r="Q354" s="1112"/>
      <c r="R354" s="1112"/>
      <c r="S354" s="1112"/>
      <c r="T354" s="1112"/>
      <c r="AJ354" s="1112"/>
      <c r="AK354" s="1112"/>
      <c r="AL354" s="1112"/>
      <c r="AM354" s="1112"/>
      <c r="AN354" s="1112"/>
      <c r="AO354" s="1112"/>
      <c r="AP354" s="1112"/>
      <c r="AQ354" s="1112"/>
      <c r="AR354" s="1112"/>
      <c r="AS354" s="1112"/>
      <c r="AT354" s="1112"/>
      <c r="AU354" s="1112"/>
      <c r="AV354" s="1112"/>
      <c r="AW354" s="1112"/>
      <c r="AX354" s="1112"/>
      <c r="AY354" s="1112"/>
      <c r="AZ354" s="1112"/>
      <c r="BA354" s="1112"/>
      <c r="BB354" s="1112"/>
      <c r="BC354" s="1112"/>
      <c r="BD354" s="1112"/>
      <c r="BE354" s="1112"/>
      <c r="BF354" s="1112"/>
      <c r="BG354" s="1112"/>
      <c r="BH354" s="1112"/>
      <c r="BI354" s="1112"/>
      <c r="BJ354" s="1112"/>
      <c r="BK354" s="1113"/>
      <c r="BL354" s="1113"/>
      <c r="BM354" s="1113"/>
      <c r="BN354" s="1113"/>
      <c r="BO354" s="1113"/>
      <c r="BP354" s="1113"/>
      <c r="BQ354" s="1113"/>
      <c r="BR354" s="1113"/>
      <c r="BS354" s="1113"/>
      <c r="BT354" s="1113"/>
      <c r="BU354" s="1113"/>
      <c r="BV354" s="1113"/>
      <c r="BW354" s="1113"/>
      <c r="BX354" s="1113"/>
      <c r="BY354" s="1113"/>
      <c r="BZ354" s="1113"/>
      <c r="CA354" s="1113"/>
      <c r="CB354" s="1113"/>
      <c r="CC354" s="1113"/>
      <c r="CD354" s="1113"/>
      <c r="CE354" s="1113"/>
      <c r="CF354" s="1113"/>
      <c r="CG354" s="1113"/>
      <c r="CH354" s="1113"/>
      <c r="CI354" s="1113"/>
      <c r="CJ354" s="1113"/>
      <c r="CK354" s="1113"/>
      <c r="CL354" s="1113"/>
      <c r="CM354" s="1113"/>
      <c r="CN354" s="1113"/>
      <c r="CO354" s="1113"/>
      <c r="CP354" s="1113"/>
      <c r="CQ354" s="1113"/>
      <c r="CR354" s="1113"/>
      <c r="CS354" s="1113"/>
      <c r="CT354" s="1113"/>
      <c r="CU354" s="1113"/>
      <c r="CV354" s="1113"/>
      <c r="CW354" s="1113"/>
      <c r="CX354" s="1113"/>
      <c r="CY354" s="1113"/>
      <c r="CZ354" s="1113"/>
      <c r="DA354" s="1113"/>
      <c r="DB354" s="1113"/>
      <c r="DC354" s="1113"/>
      <c r="DD354" s="1113"/>
      <c r="DE354" s="1113"/>
      <c r="DF354" s="1113"/>
      <c r="DG354" s="1113"/>
      <c r="DH354" s="1113"/>
      <c r="DI354" s="1113"/>
      <c r="DJ354" s="1113"/>
      <c r="DK354" s="1113"/>
      <c r="DL354" s="1113"/>
      <c r="DM354" s="1113"/>
      <c r="DN354" s="1113"/>
      <c r="DO354" s="1113"/>
      <c r="DP354" s="1113"/>
      <c r="DQ354" s="1113"/>
      <c r="DR354" s="1113"/>
      <c r="DS354" s="1113"/>
      <c r="DT354" s="1113"/>
      <c r="DU354" s="1113"/>
      <c r="DV354" s="1113"/>
      <c r="DW354" s="1113"/>
      <c r="DX354" s="1113"/>
      <c r="DY354" s="1113"/>
      <c r="DZ354" s="1113"/>
      <c r="EA354" s="1113"/>
      <c r="EB354" s="1113"/>
      <c r="EC354" s="1113"/>
      <c r="ED354" s="1113"/>
      <c r="EE354" s="1113"/>
      <c r="EF354" s="1113"/>
      <c r="EG354" s="1113"/>
      <c r="EH354" s="1113"/>
      <c r="EI354" s="1113"/>
      <c r="EJ354" s="1113"/>
      <c r="EK354" s="1113"/>
      <c r="EL354" s="1113"/>
      <c r="EM354" s="1113"/>
      <c r="EN354" s="1113"/>
      <c r="EO354" s="1115"/>
      <c r="EP354" s="1115"/>
      <c r="EQ354" s="1115"/>
    </row>
    <row r="355" spans="1:147" hidden="1">
      <c r="A355" s="1101"/>
      <c r="B355" s="1105" t="s">
        <v>1469</v>
      </c>
      <c r="C355" s="1100"/>
      <c r="D355" s="1100"/>
      <c r="E355" s="1100"/>
      <c r="F355" s="1100"/>
      <c r="G355" s="1100"/>
      <c r="H355" s="1100"/>
      <c r="I355" s="1100"/>
      <c r="J355" s="1100"/>
      <c r="K355" s="1100"/>
      <c r="L355" s="1100"/>
      <c r="M355" s="1100"/>
      <c r="N355" s="1100"/>
      <c r="O355" s="1100"/>
      <c r="P355" s="1100"/>
      <c r="Q355" s="1112"/>
      <c r="R355" s="1112"/>
      <c r="S355" s="1112"/>
      <c r="T355" s="1112"/>
      <c r="U355" s="1112"/>
      <c r="V355" s="1112"/>
      <c r="W355" s="1112"/>
      <c r="X355" s="1112"/>
      <c r="Y355" s="1112"/>
      <c r="Z355" s="1112"/>
      <c r="AA355" s="1112"/>
      <c r="AB355" s="1112"/>
      <c r="AC355" s="1112"/>
      <c r="AD355" s="1112"/>
      <c r="AE355" s="1112"/>
      <c r="AF355" s="1112"/>
      <c r="AG355" s="1112"/>
      <c r="AH355" s="1112"/>
      <c r="AI355" s="1112"/>
      <c r="AJ355" s="1112"/>
      <c r="AK355" s="1112"/>
      <c r="AL355" s="1112"/>
      <c r="AM355" s="1112"/>
      <c r="AN355" s="1112"/>
      <c r="AO355" s="1112"/>
      <c r="AP355" s="1112"/>
      <c r="AQ355" s="1112"/>
      <c r="AR355" s="1112"/>
      <c r="AS355" s="1112"/>
      <c r="AT355" s="1112"/>
      <c r="AU355" s="1112"/>
      <c r="AV355" s="1112"/>
      <c r="AW355" s="1112"/>
      <c r="AX355" s="1112"/>
      <c r="AY355" s="1112"/>
      <c r="AZ355" s="1112"/>
      <c r="BA355" s="1112"/>
      <c r="BB355" s="1112"/>
      <c r="BC355" s="1112"/>
      <c r="BD355" s="1112"/>
      <c r="BE355" s="1112"/>
      <c r="BF355" s="1112"/>
      <c r="BG355" s="1112"/>
      <c r="BH355" s="1112"/>
      <c r="BI355" s="1112"/>
      <c r="BJ355" s="1112"/>
      <c r="BK355" s="1113"/>
      <c r="BL355" s="1113"/>
      <c r="BM355" s="1113"/>
      <c r="BN355" s="1113"/>
      <c r="BO355" s="1113"/>
      <c r="BP355" s="1113"/>
      <c r="BQ355" s="1113"/>
      <c r="BR355" s="1113"/>
      <c r="BS355" s="1113"/>
      <c r="BT355" s="1113"/>
      <c r="BU355" s="1113"/>
      <c r="BV355" s="1113"/>
      <c r="BW355" s="1113"/>
      <c r="BX355" s="1113"/>
      <c r="BY355" s="1113"/>
      <c r="BZ355" s="1113"/>
      <c r="CA355" s="1113"/>
      <c r="CB355" s="1113"/>
      <c r="CC355" s="1113"/>
      <c r="CD355" s="1113"/>
      <c r="CE355" s="1113"/>
      <c r="CF355" s="1113"/>
      <c r="CG355" s="1113"/>
      <c r="CH355" s="1113"/>
      <c r="CI355" s="1113"/>
      <c r="CJ355" s="1113"/>
      <c r="CK355" s="1113"/>
      <c r="CL355" s="1113"/>
      <c r="CM355" s="1113"/>
      <c r="CN355" s="1113"/>
      <c r="CO355" s="1113"/>
      <c r="CP355" s="1113"/>
      <c r="CQ355" s="1113"/>
      <c r="CR355" s="1113"/>
      <c r="CS355" s="1113"/>
      <c r="CT355" s="1113"/>
      <c r="CU355" s="1113"/>
      <c r="CV355" s="1113"/>
      <c r="CW355" s="1113"/>
      <c r="CX355" s="1113"/>
      <c r="CY355" s="1113"/>
      <c r="CZ355" s="1113"/>
      <c r="DA355" s="1113"/>
      <c r="DB355" s="1113"/>
      <c r="DC355" s="1113"/>
      <c r="DD355" s="1113"/>
      <c r="DE355" s="1113"/>
      <c r="DF355" s="1113"/>
      <c r="DG355" s="1113"/>
      <c r="DH355" s="1113"/>
      <c r="DI355" s="1113"/>
      <c r="DJ355" s="1113"/>
      <c r="DK355" s="1113"/>
      <c r="DL355" s="1113"/>
      <c r="DM355" s="1113"/>
      <c r="DN355" s="1113"/>
      <c r="DO355" s="1113"/>
      <c r="DP355" s="1113"/>
      <c r="DQ355" s="1113"/>
      <c r="DR355" s="1113"/>
      <c r="DS355" s="1113"/>
      <c r="DT355" s="1113"/>
      <c r="DU355" s="1113"/>
      <c r="DV355" s="1113"/>
      <c r="DW355" s="1113"/>
      <c r="DX355" s="1113"/>
      <c r="DY355" s="1113"/>
      <c r="DZ355" s="1113"/>
      <c r="EA355" s="1113"/>
      <c r="EB355" s="1113"/>
      <c r="EC355" s="1113"/>
      <c r="ED355" s="1113"/>
      <c r="EE355" s="1113"/>
      <c r="EF355" s="1113"/>
      <c r="EG355" s="1113"/>
      <c r="EH355" s="1113"/>
      <c r="EI355" s="1113"/>
      <c r="EJ355" s="1113"/>
      <c r="EK355" s="1113"/>
      <c r="EL355" s="1113"/>
      <c r="EM355" s="1113"/>
      <c r="EN355" s="1113"/>
      <c r="EO355" s="1115"/>
      <c r="EP355" s="1115"/>
      <c r="EQ355" s="1115"/>
    </row>
    <row r="356" spans="1:147" hidden="1">
      <c r="A356" s="1101">
        <v>1</v>
      </c>
      <c r="B356" s="1105" t="s">
        <v>1469</v>
      </c>
      <c r="C356" s="1100"/>
      <c r="D356" s="1100"/>
      <c r="E356" s="1100"/>
      <c r="F356" s="1100"/>
      <c r="G356" s="1100"/>
      <c r="H356" s="1100"/>
      <c r="I356" s="1100"/>
      <c r="J356" s="1100"/>
      <c r="K356" s="1100"/>
      <c r="L356" s="1100"/>
      <c r="M356" s="1100"/>
      <c r="N356" s="1100"/>
      <c r="O356" s="1100"/>
      <c r="P356" s="1100"/>
    </row>
    <row r="357" spans="1:147" hidden="1">
      <c r="A357" s="1101">
        <v>2</v>
      </c>
      <c r="B357" s="1105" t="s">
        <v>1987</v>
      </c>
      <c r="C357" s="1100"/>
      <c r="D357" s="1100"/>
      <c r="E357" s="1100"/>
      <c r="F357" s="1100"/>
      <c r="G357" s="1100"/>
      <c r="H357" s="1100"/>
      <c r="I357" s="1100"/>
      <c r="J357" s="1100"/>
      <c r="K357" s="1100"/>
      <c r="L357" s="1100"/>
      <c r="M357" s="1100"/>
      <c r="N357" s="1100"/>
      <c r="O357" s="1100"/>
      <c r="P357" s="1100"/>
    </row>
    <row r="358" spans="1:147" hidden="1">
      <c r="A358" s="1101">
        <v>3</v>
      </c>
      <c r="B358" s="1105" t="s">
        <v>1988</v>
      </c>
      <c r="C358" s="1100"/>
      <c r="D358" s="1100"/>
      <c r="E358" s="1100"/>
      <c r="F358" s="1100"/>
      <c r="G358" s="1100"/>
      <c r="H358" s="1100"/>
      <c r="I358" s="1100"/>
      <c r="J358" s="1100"/>
      <c r="K358" s="1100"/>
      <c r="L358" s="1100"/>
      <c r="M358" s="1100"/>
      <c r="N358" s="1100"/>
      <c r="O358" s="1100"/>
      <c r="P358" s="1100"/>
    </row>
    <row r="359" spans="1:147" hidden="1">
      <c r="A359" s="1101">
        <v>4</v>
      </c>
      <c r="B359" s="1105" t="s">
        <v>1989</v>
      </c>
      <c r="C359" s="1100"/>
      <c r="D359" s="1100"/>
      <c r="E359" s="1100"/>
      <c r="F359" s="1100"/>
      <c r="G359" s="1100"/>
      <c r="H359" s="1100"/>
      <c r="I359" s="1100"/>
      <c r="J359" s="1100"/>
      <c r="K359" s="1100"/>
      <c r="L359" s="1100"/>
      <c r="M359" s="1100"/>
      <c r="N359" s="1100"/>
      <c r="O359" s="1100"/>
      <c r="P359" s="1100"/>
    </row>
    <row r="360" spans="1:147" hidden="1">
      <c r="A360" s="1101"/>
      <c r="B360" s="1105" t="s">
        <v>153</v>
      </c>
      <c r="C360" s="1100"/>
      <c r="D360" s="1100"/>
      <c r="E360" s="1100"/>
      <c r="F360" s="1100"/>
      <c r="G360" s="1100"/>
      <c r="H360" s="1100"/>
      <c r="I360" s="1100"/>
      <c r="J360" s="1100"/>
      <c r="K360" s="1100"/>
      <c r="L360" s="1100"/>
      <c r="M360" s="1100"/>
      <c r="N360" s="1100"/>
      <c r="O360" s="1100"/>
      <c r="P360" s="1100"/>
    </row>
    <row r="361" spans="1:147" hidden="1">
      <c r="A361" s="1101"/>
      <c r="B361" s="1105"/>
      <c r="C361" s="1100"/>
      <c r="D361" s="1100"/>
      <c r="E361" s="1100"/>
      <c r="F361" s="1100"/>
      <c r="G361" s="1100"/>
      <c r="H361" s="1100"/>
      <c r="I361" s="1100"/>
      <c r="J361" s="1100"/>
      <c r="K361" s="1100"/>
      <c r="L361" s="1100"/>
      <c r="M361" s="1100"/>
      <c r="N361" s="1100"/>
      <c r="O361" s="1100"/>
      <c r="P361" s="1100"/>
    </row>
    <row r="362" spans="1:147" hidden="1">
      <c r="A362" s="1106" t="s">
        <v>82</v>
      </c>
      <c r="B362" s="1105" t="s">
        <v>1470</v>
      </c>
      <c r="C362" s="1100"/>
      <c r="D362" s="1100"/>
      <c r="E362" s="1100"/>
      <c r="F362" s="1100"/>
      <c r="G362" s="1100"/>
      <c r="H362" s="1100"/>
      <c r="I362" s="1100"/>
      <c r="J362" s="1100"/>
      <c r="K362" s="1100"/>
      <c r="L362" s="1100"/>
      <c r="M362" s="1100"/>
      <c r="N362" s="1100"/>
      <c r="O362" s="1100"/>
      <c r="P362" s="1100"/>
    </row>
    <row r="363" spans="1:147" hidden="1">
      <c r="A363" s="1106">
        <v>1</v>
      </c>
      <c r="B363" s="1105" t="s">
        <v>1470</v>
      </c>
      <c r="C363" s="1100"/>
      <c r="D363" s="1100"/>
      <c r="E363" s="1100"/>
      <c r="F363" s="1100"/>
      <c r="G363" s="1100"/>
      <c r="H363" s="1100"/>
      <c r="I363" s="1100"/>
      <c r="J363" s="1100"/>
      <c r="K363" s="1100"/>
      <c r="L363" s="1100"/>
      <c r="M363" s="1100"/>
      <c r="N363" s="1100"/>
      <c r="O363" s="1100"/>
      <c r="P363" s="1100"/>
    </row>
    <row r="364" spans="1:147" hidden="1">
      <c r="A364" s="1106">
        <v>2</v>
      </c>
      <c r="B364" s="1105" t="s">
        <v>1990</v>
      </c>
      <c r="C364" s="1100"/>
      <c r="D364" s="1100"/>
      <c r="E364" s="1100"/>
      <c r="F364" s="1100"/>
      <c r="G364" s="1100"/>
      <c r="H364" s="1100"/>
      <c r="I364" s="1100"/>
      <c r="J364" s="1100"/>
      <c r="K364" s="1100"/>
      <c r="L364" s="1100"/>
      <c r="M364" s="1100"/>
      <c r="N364" s="1100"/>
      <c r="O364" s="1100"/>
      <c r="P364" s="1100"/>
    </row>
    <row r="365" spans="1:147" hidden="1">
      <c r="A365" s="1106"/>
      <c r="B365" s="1105" t="s">
        <v>1991</v>
      </c>
      <c r="C365" s="1100"/>
      <c r="D365" s="1100"/>
      <c r="E365" s="1100"/>
      <c r="F365" s="1100"/>
      <c r="G365" s="1100"/>
      <c r="H365" s="1100"/>
      <c r="I365" s="1100"/>
      <c r="J365" s="1100"/>
      <c r="K365" s="1100"/>
      <c r="L365" s="1100"/>
      <c r="M365" s="1100"/>
      <c r="N365" s="1100"/>
      <c r="O365" s="1100"/>
      <c r="P365" s="1100"/>
    </row>
    <row r="366" spans="1:147" hidden="1">
      <c r="A366" s="1101"/>
      <c r="B366" s="1105" t="s">
        <v>153</v>
      </c>
      <c r="C366" s="1100"/>
      <c r="D366" s="1100"/>
      <c r="E366" s="1100"/>
      <c r="F366" s="1100"/>
      <c r="G366" s="1100"/>
      <c r="H366" s="1100"/>
      <c r="I366" s="1100"/>
      <c r="J366" s="1100"/>
      <c r="K366" s="1100"/>
      <c r="L366" s="1100"/>
      <c r="M366" s="1100"/>
      <c r="N366" s="1100"/>
      <c r="O366" s="1100"/>
      <c r="P366" s="1100"/>
    </row>
    <row r="367" spans="1:147" hidden="1">
      <c r="A367" s="1101"/>
      <c r="B367" s="1105"/>
      <c r="C367" s="1100"/>
      <c r="D367" s="1100"/>
      <c r="E367" s="1100"/>
      <c r="F367" s="1100"/>
      <c r="G367" s="1100"/>
      <c r="H367" s="1100"/>
      <c r="I367" s="1100"/>
      <c r="J367" s="1100"/>
      <c r="K367" s="1100"/>
      <c r="L367" s="1100"/>
      <c r="M367" s="1100"/>
      <c r="N367" s="1100"/>
      <c r="O367" s="1100"/>
      <c r="P367" s="1100"/>
    </row>
    <row r="368" spans="1:147" hidden="1">
      <c r="A368" s="1101" t="s">
        <v>89</v>
      </c>
      <c r="B368" s="1105" t="s">
        <v>1471</v>
      </c>
      <c r="C368" s="1100"/>
      <c r="D368" s="1100"/>
      <c r="E368" s="1100"/>
      <c r="F368" s="1100"/>
      <c r="G368" s="1100"/>
      <c r="H368" s="1100"/>
      <c r="I368" s="1100"/>
      <c r="J368" s="1100"/>
      <c r="K368" s="1100"/>
      <c r="L368" s="1100"/>
      <c r="M368" s="1100"/>
      <c r="N368" s="1100"/>
      <c r="O368" s="1100"/>
      <c r="P368" s="1100"/>
    </row>
    <row r="369" spans="1:16" hidden="1">
      <c r="A369" s="1101">
        <v>1</v>
      </c>
      <c r="B369" s="1105" t="s">
        <v>1992</v>
      </c>
      <c r="C369" s="1100"/>
      <c r="D369" s="1100"/>
      <c r="E369" s="1100"/>
      <c r="F369" s="1100"/>
      <c r="G369" s="1100"/>
      <c r="H369" s="1100"/>
      <c r="I369" s="1100"/>
      <c r="J369" s="1100"/>
      <c r="K369" s="1100"/>
      <c r="L369" s="1100"/>
      <c r="M369" s="1100"/>
      <c r="N369" s="1100"/>
      <c r="O369" s="1100"/>
      <c r="P369" s="1100"/>
    </row>
    <row r="370" spans="1:16" hidden="1">
      <c r="A370" s="1101"/>
      <c r="B370" s="1105"/>
      <c r="C370" s="1100"/>
      <c r="D370" s="1100"/>
      <c r="E370" s="1100"/>
      <c r="F370" s="1100"/>
      <c r="G370" s="1100"/>
      <c r="H370" s="1100"/>
      <c r="I370" s="1100"/>
      <c r="J370" s="1100"/>
      <c r="K370" s="1100"/>
      <c r="L370" s="1100"/>
      <c r="M370" s="1100"/>
      <c r="N370" s="1100"/>
      <c r="O370" s="1100"/>
      <c r="P370" s="1100"/>
    </row>
    <row r="371" spans="1:16" hidden="1">
      <c r="A371" s="1101" t="s">
        <v>487</v>
      </c>
      <c r="B371" s="1105" t="s">
        <v>1331</v>
      </c>
      <c r="C371" s="1100"/>
      <c r="D371" s="1100"/>
      <c r="E371" s="1100"/>
      <c r="F371" s="1100"/>
      <c r="G371" s="1100"/>
      <c r="H371" s="1100"/>
      <c r="I371" s="1100"/>
      <c r="J371" s="1100"/>
      <c r="K371" s="1100"/>
      <c r="L371" s="1100"/>
      <c r="M371" s="1100"/>
      <c r="N371" s="1100"/>
      <c r="O371" s="1100"/>
      <c r="P371" s="1100"/>
    </row>
    <row r="372" spans="1:16" hidden="1">
      <c r="A372" s="1101"/>
      <c r="B372" s="1105" t="s">
        <v>1469</v>
      </c>
      <c r="C372" s="1100"/>
      <c r="D372" s="1100"/>
      <c r="E372" s="1100"/>
      <c r="F372" s="1100"/>
      <c r="G372" s="1100"/>
      <c r="H372" s="1100"/>
      <c r="I372" s="1100"/>
      <c r="J372" s="1100"/>
      <c r="K372" s="1100"/>
      <c r="L372" s="1100"/>
      <c r="M372" s="1100"/>
      <c r="N372" s="1100"/>
      <c r="O372" s="1100"/>
      <c r="P372" s="1100"/>
    </row>
    <row r="373" spans="1:16" hidden="1">
      <c r="A373" s="1101">
        <v>1</v>
      </c>
      <c r="B373" s="1105" t="s">
        <v>1469</v>
      </c>
      <c r="C373" s="1100"/>
      <c r="D373" s="1100"/>
      <c r="E373" s="1100"/>
      <c r="F373" s="1100"/>
      <c r="G373" s="1100"/>
      <c r="H373" s="1100"/>
      <c r="I373" s="1100"/>
      <c r="J373" s="1100"/>
      <c r="K373" s="1100"/>
      <c r="L373" s="1100"/>
      <c r="M373" s="1100"/>
      <c r="N373" s="1100"/>
      <c r="O373" s="1100"/>
      <c r="P373" s="1100"/>
    </row>
    <row r="374" spans="1:16" hidden="1">
      <c r="A374" s="1101">
        <v>2</v>
      </c>
      <c r="B374" s="1105" t="s">
        <v>1993</v>
      </c>
      <c r="C374" s="1100"/>
      <c r="D374" s="1100"/>
      <c r="E374" s="1100"/>
      <c r="F374" s="1100"/>
      <c r="G374" s="1100"/>
      <c r="H374" s="1100"/>
      <c r="I374" s="1100"/>
      <c r="J374" s="1100"/>
      <c r="K374" s="1100"/>
      <c r="L374" s="1100"/>
      <c r="M374" s="1100"/>
      <c r="N374" s="1100"/>
      <c r="O374" s="1100"/>
      <c r="P374" s="1100"/>
    </row>
    <row r="375" spans="1:16" hidden="1">
      <c r="A375" s="1101">
        <v>3</v>
      </c>
      <c r="B375" s="1105" t="s">
        <v>1346</v>
      </c>
      <c r="C375" s="1100"/>
      <c r="D375" s="1100"/>
      <c r="E375" s="1100"/>
      <c r="F375" s="1100"/>
      <c r="G375" s="1100"/>
      <c r="H375" s="1100"/>
      <c r="I375" s="1100"/>
      <c r="J375" s="1100"/>
      <c r="K375" s="1100"/>
      <c r="L375" s="1100"/>
      <c r="M375" s="1100"/>
      <c r="N375" s="1100"/>
      <c r="O375" s="1100"/>
      <c r="P375" s="1100"/>
    </row>
    <row r="376" spans="1:16" hidden="1">
      <c r="A376" s="1101">
        <v>4</v>
      </c>
      <c r="B376" s="1105" t="s">
        <v>1994</v>
      </c>
      <c r="C376" s="1100"/>
      <c r="D376" s="1100"/>
      <c r="E376" s="1100"/>
      <c r="F376" s="1100"/>
      <c r="G376" s="1100"/>
      <c r="H376" s="1100"/>
      <c r="I376" s="1100"/>
      <c r="J376" s="1100"/>
      <c r="K376" s="1100"/>
      <c r="L376" s="1100"/>
      <c r="M376" s="1100"/>
      <c r="N376" s="1100"/>
      <c r="O376" s="1100"/>
      <c r="P376" s="1100"/>
    </row>
    <row r="377" spans="1:16" hidden="1">
      <c r="A377" s="1101">
        <v>5</v>
      </c>
      <c r="B377" s="1105" t="s">
        <v>1995</v>
      </c>
      <c r="C377" s="1100"/>
      <c r="D377" s="1100"/>
      <c r="E377" s="1100"/>
      <c r="F377" s="1100"/>
      <c r="G377" s="1100"/>
      <c r="H377" s="1100"/>
      <c r="I377" s="1100"/>
      <c r="J377" s="1100"/>
      <c r="K377" s="1100"/>
      <c r="L377" s="1100"/>
      <c r="M377" s="1100"/>
      <c r="N377" s="1100"/>
      <c r="O377" s="1100"/>
      <c r="P377" s="1100"/>
    </row>
    <row r="378" spans="1:16" hidden="1">
      <c r="A378" s="1101">
        <v>6</v>
      </c>
      <c r="B378" s="1105" t="s">
        <v>1996</v>
      </c>
      <c r="C378" s="1100"/>
      <c r="D378" s="1100"/>
      <c r="E378" s="1100"/>
      <c r="F378" s="1100"/>
      <c r="G378" s="1100"/>
      <c r="H378" s="1100"/>
      <c r="I378" s="1100"/>
      <c r="J378" s="1100"/>
      <c r="K378" s="1100"/>
      <c r="L378" s="1100"/>
      <c r="M378" s="1100"/>
      <c r="N378" s="1100"/>
      <c r="O378" s="1100"/>
      <c r="P378" s="1100"/>
    </row>
    <row r="379" spans="1:16" hidden="1">
      <c r="A379" s="1101">
        <v>7</v>
      </c>
      <c r="B379" s="1105" t="s">
        <v>1997</v>
      </c>
      <c r="C379" s="1100"/>
      <c r="D379" s="1100"/>
      <c r="E379" s="1100"/>
      <c r="F379" s="1100"/>
      <c r="G379" s="1100"/>
      <c r="H379" s="1100"/>
      <c r="I379" s="1100"/>
      <c r="J379" s="1100"/>
      <c r="K379" s="1100"/>
      <c r="L379" s="1100"/>
      <c r="M379" s="1100"/>
      <c r="N379" s="1100"/>
      <c r="O379" s="1100"/>
      <c r="P379" s="1100"/>
    </row>
    <row r="380" spans="1:16" hidden="1">
      <c r="A380" s="1101">
        <v>8</v>
      </c>
      <c r="B380" s="1105" t="s">
        <v>1998</v>
      </c>
      <c r="C380" s="1100"/>
      <c r="D380" s="1100"/>
      <c r="E380" s="1100"/>
      <c r="F380" s="1100"/>
      <c r="G380" s="1100"/>
      <c r="H380" s="1100"/>
      <c r="I380" s="1100"/>
      <c r="J380" s="1100"/>
      <c r="K380" s="1100"/>
      <c r="L380" s="1100"/>
      <c r="M380" s="1100"/>
      <c r="N380" s="1100"/>
      <c r="O380" s="1100"/>
      <c r="P380" s="1100"/>
    </row>
    <row r="381" spans="1:16" hidden="1">
      <c r="A381" s="1101"/>
      <c r="B381" s="1105" t="s">
        <v>1472</v>
      </c>
      <c r="C381" s="1100"/>
      <c r="D381" s="1100"/>
      <c r="E381" s="1100"/>
      <c r="F381" s="1100"/>
      <c r="G381" s="1100"/>
      <c r="H381" s="1100"/>
      <c r="I381" s="1100"/>
      <c r="J381" s="1100"/>
      <c r="K381" s="1100"/>
      <c r="L381" s="1100"/>
      <c r="M381" s="1100"/>
      <c r="N381" s="1100"/>
      <c r="O381" s="1100"/>
      <c r="P381" s="1100"/>
    </row>
    <row r="382" spans="1:16" hidden="1">
      <c r="A382" s="1101">
        <v>1</v>
      </c>
      <c r="B382" s="1105" t="s">
        <v>1472</v>
      </c>
      <c r="C382" s="1100"/>
      <c r="D382" s="1100"/>
      <c r="E382" s="1100"/>
      <c r="F382" s="1100"/>
      <c r="G382" s="1100"/>
      <c r="H382" s="1100"/>
      <c r="I382" s="1100"/>
      <c r="J382" s="1100"/>
      <c r="K382" s="1100"/>
      <c r="L382" s="1100"/>
      <c r="M382" s="1100"/>
      <c r="N382" s="1100"/>
      <c r="O382" s="1100"/>
      <c r="P382" s="1100"/>
    </row>
    <row r="383" spans="1:16" hidden="1">
      <c r="A383" s="1101">
        <v>2</v>
      </c>
      <c r="B383" s="1105" t="s">
        <v>1333</v>
      </c>
      <c r="C383" s="1100"/>
      <c r="D383" s="1100"/>
      <c r="E383" s="1100"/>
      <c r="F383" s="1100"/>
      <c r="G383" s="1100"/>
      <c r="H383" s="1100"/>
      <c r="I383" s="1100"/>
      <c r="J383" s="1100"/>
      <c r="K383" s="1100"/>
      <c r="L383" s="1100"/>
      <c r="M383" s="1100"/>
      <c r="N383" s="1100"/>
      <c r="O383" s="1100"/>
      <c r="P383" s="1100"/>
    </row>
    <row r="384" spans="1:16" hidden="1">
      <c r="A384" s="1101">
        <v>3</v>
      </c>
      <c r="B384" s="1105" t="s">
        <v>1999</v>
      </c>
      <c r="C384" s="1100"/>
      <c r="D384" s="1100"/>
      <c r="E384" s="1100"/>
      <c r="F384" s="1100"/>
      <c r="G384" s="1100"/>
      <c r="H384" s="1100"/>
      <c r="I384" s="1100"/>
      <c r="J384" s="1100"/>
      <c r="K384" s="1100"/>
      <c r="L384" s="1100"/>
      <c r="M384" s="1100"/>
      <c r="N384" s="1100"/>
      <c r="O384" s="1100"/>
      <c r="P384" s="1100"/>
    </row>
    <row r="385" spans="1:16" hidden="1">
      <c r="A385" s="1101">
        <v>4</v>
      </c>
      <c r="B385" s="1105" t="s">
        <v>1335</v>
      </c>
      <c r="C385" s="1100"/>
      <c r="D385" s="1100"/>
      <c r="E385" s="1100"/>
      <c r="F385" s="1100"/>
      <c r="G385" s="1100"/>
      <c r="H385" s="1100"/>
      <c r="I385" s="1100"/>
      <c r="J385" s="1100"/>
      <c r="K385" s="1100"/>
      <c r="L385" s="1100"/>
      <c r="M385" s="1100"/>
      <c r="N385" s="1100"/>
      <c r="O385" s="1100"/>
      <c r="P385" s="1100"/>
    </row>
    <row r="386" spans="1:16" hidden="1">
      <c r="A386" s="1101">
        <v>5</v>
      </c>
      <c r="B386" s="1105" t="s">
        <v>1336</v>
      </c>
      <c r="C386" s="1100"/>
      <c r="D386" s="1100"/>
      <c r="E386" s="1100"/>
      <c r="F386" s="1100"/>
      <c r="G386" s="1100"/>
      <c r="H386" s="1100"/>
      <c r="I386" s="1100"/>
      <c r="J386" s="1100"/>
      <c r="K386" s="1100"/>
      <c r="L386" s="1100"/>
      <c r="M386" s="1100"/>
      <c r="N386" s="1100"/>
      <c r="O386" s="1100"/>
      <c r="P386" s="1100"/>
    </row>
    <row r="387" spans="1:16" hidden="1">
      <c r="A387" s="1101">
        <v>6</v>
      </c>
      <c r="B387" s="1105" t="s">
        <v>1337</v>
      </c>
      <c r="C387" s="1100"/>
      <c r="D387" s="1100"/>
      <c r="E387" s="1100"/>
      <c r="F387" s="1100"/>
      <c r="G387" s="1100"/>
      <c r="H387" s="1100"/>
      <c r="I387" s="1100"/>
      <c r="J387" s="1100"/>
      <c r="K387" s="1100"/>
      <c r="L387" s="1100"/>
      <c r="M387" s="1100"/>
      <c r="N387" s="1100"/>
      <c r="O387" s="1100"/>
      <c r="P387" s="1100"/>
    </row>
    <row r="388" spans="1:16" hidden="1">
      <c r="A388" s="1101">
        <v>7</v>
      </c>
      <c r="B388" s="1105" t="s">
        <v>1338</v>
      </c>
      <c r="C388" s="1100"/>
      <c r="D388" s="1100"/>
      <c r="E388" s="1100"/>
      <c r="F388" s="1100"/>
      <c r="G388" s="1100"/>
      <c r="H388" s="1100"/>
      <c r="I388" s="1100"/>
      <c r="J388" s="1100"/>
      <c r="K388" s="1100"/>
      <c r="L388" s="1100"/>
      <c r="M388" s="1100"/>
      <c r="N388" s="1100"/>
      <c r="O388" s="1100"/>
      <c r="P388" s="1100"/>
    </row>
    <row r="389" spans="1:16" hidden="1">
      <c r="A389" s="1101">
        <v>8</v>
      </c>
      <c r="B389" s="1105" t="s">
        <v>2000</v>
      </c>
      <c r="C389" s="1100"/>
      <c r="D389" s="1100"/>
      <c r="E389" s="1100"/>
      <c r="F389" s="1100"/>
      <c r="G389" s="1100"/>
      <c r="H389" s="1100"/>
      <c r="I389" s="1100"/>
      <c r="J389" s="1100"/>
      <c r="K389" s="1100"/>
      <c r="L389" s="1100"/>
      <c r="M389" s="1100"/>
      <c r="N389" s="1100"/>
      <c r="O389" s="1100"/>
      <c r="P389" s="1100"/>
    </row>
    <row r="390" spans="1:16" hidden="1">
      <c r="A390" s="1101">
        <v>9</v>
      </c>
      <c r="B390" s="1105" t="s">
        <v>2001</v>
      </c>
      <c r="C390" s="1100"/>
      <c r="D390" s="1100"/>
      <c r="E390" s="1100"/>
      <c r="F390" s="1100"/>
      <c r="G390" s="1100"/>
      <c r="H390" s="1100"/>
      <c r="I390" s="1100"/>
      <c r="J390" s="1100"/>
      <c r="K390" s="1100"/>
      <c r="L390" s="1100"/>
      <c r="M390" s="1100"/>
      <c r="N390" s="1100"/>
      <c r="O390" s="1100"/>
      <c r="P390" s="1100"/>
    </row>
    <row r="391" spans="1:16" hidden="1">
      <c r="A391" s="1101">
        <v>10</v>
      </c>
      <c r="B391" s="1105" t="s">
        <v>2002</v>
      </c>
      <c r="C391" s="1100"/>
      <c r="D391" s="1100"/>
      <c r="E391" s="1100"/>
      <c r="F391" s="1100"/>
      <c r="G391" s="1100"/>
      <c r="H391" s="1100"/>
      <c r="I391" s="1100"/>
      <c r="J391" s="1100"/>
      <c r="K391" s="1100"/>
      <c r="L391" s="1100"/>
      <c r="M391" s="1100"/>
      <c r="N391" s="1100"/>
      <c r="O391" s="1100"/>
      <c r="P391" s="1100"/>
    </row>
    <row r="392" spans="1:16" hidden="1">
      <c r="A392" s="1101">
        <v>11</v>
      </c>
      <c r="B392" s="1105" t="s">
        <v>2003</v>
      </c>
      <c r="C392" s="1100"/>
      <c r="D392" s="1100"/>
      <c r="E392" s="1100"/>
      <c r="F392" s="1100"/>
      <c r="G392" s="1100"/>
      <c r="H392" s="1100"/>
      <c r="I392" s="1100"/>
      <c r="J392" s="1100"/>
      <c r="K392" s="1100"/>
      <c r="L392" s="1100"/>
      <c r="M392" s="1100"/>
      <c r="N392" s="1100"/>
      <c r="O392" s="1100"/>
      <c r="P392" s="1100"/>
    </row>
    <row r="393" spans="1:16" hidden="1">
      <c r="A393" s="1101">
        <v>12</v>
      </c>
      <c r="B393" s="1105" t="s">
        <v>2004</v>
      </c>
      <c r="C393" s="1100"/>
      <c r="D393" s="1100"/>
      <c r="E393" s="1100"/>
      <c r="F393" s="1100"/>
      <c r="G393" s="1100"/>
      <c r="H393" s="1100"/>
      <c r="I393" s="1100"/>
      <c r="J393" s="1100"/>
      <c r="K393" s="1100"/>
      <c r="L393" s="1100"/>
      <c r="M393" s="1100"/>
      <c r="N393" s="1100"/>
      <c r="O393" s="1100"/>
      <c r="P393" s="1100"/>
    </row>
    <row r="394" spans="1:16" hidden="1">
      <c r="A394" s="1101">
        <v>13</v>
      </c>
      <c r="B394" s="1105" t="s">
        <v>2005</v>
      </c>
      <c r="C394" s="1100"/>
      <c r="D394" s="1100"/>
      <c r="E394" s="1100"/>
      <c r="F394" s="1100"/>
      <c r="G394" s="1100"/>
      <c r="H394" s="1100"/>
      <c r="I394" s="1100"/>
      <c r="J394" s="1100"/>
      <c r="K394" s="1100"/>
      <c r="L394" s="1100"/>
      <c r="M394" s="1100"/>
      <c r="N394" s="1100"/>
      <c r="O394" s="1100"/>
      <c r="P394" s="1100"/>
    </row>
    <row r="395" spans="1:16" hidden="1">
      <c r="A395" s="1101">
        <v>14</v>
      </c>
      <c r="B395" s="1105" t="s">
        <v>1342</v>
      </c>
      <c r="C395" s="1100"/>
      <c r="D395" s="1100"/>
      <c r="E395" s="1100"/>
      <c r="F395" s="1100"/>
      <c r="G395" s="1100"/>
      <c r="H395" s="1100"/>
      <c r="I395" s="1100"/>
      <c r="J395" s="1100"/>
      <c r="K395" s="1100"/>
      <c r="L395" s="1100"/>
      <c r="M395" s="1100"/>
      <c r="N395" s="1100"/>
      <c r="O395" s="1100"/>
      <c r="P395" s="1100"/>
    </row>
    <row r="396" spans="1:16" hidden="1">
      <c r="A396" s="1101">
        <v>15</v>
      </c>
      <c r="B396" s="1105" t="s">
        <v>1343</v>
      </c>
      <c r="C396" s="1100"/>
      <c r="D396" s="1100"/>
      <c r="E396" s="1100"/>
      <c r="F396" s="1100"/>
      <c r="G396" s="1100"/>
      <c r="H396" s="1100"/>
      <c r="I396" s="1100"/>
      <c r="J396" s="1100"/>
      <c r="K396" s="1100"/>
      <c r="L396" s="1100"/>
      <c r="M396" s="1100"/>
      <c r="N396" s="1100"/>
      <c r="O396" s="1100"/>
      <c r="P396" s="1100"/>
    </row>
    <row r="397" spans="1:16" hidden="1">
      <c r="A397" s="1101">
        <v>16</v>
      </c>
      <c r="B397" s="1105" t="s">
        <v>2006</v>
      </c>
      <c r="C397" s="1100"/>
      <c r="D397" s="1100"/>
      <c r="E397" s="1100"/>
      <c r="F397" s="1100"/>
      <c r="G397" s="1100"/>
      <c r="H397" s="1100"/>
      <c r="I397" s="1100"/>
      <c r="J397" s="1100"/>
      <c r="K397" s="1100"/>
      <c r="L397" s="1100"/>
      <c r="M397" s="1100"/>
      <c r="N397" s="1100"/>
      <c r="O397" s="1100"/>
      <c r="P397" s="1100"/>
    </row>
    <row r="398" spans="1:16" hidden="1">
      <c r="A398" s="1101">
        <v>17</v>
      </c>
      <c r="B398" s="1105" t="s">
        <v>2007</v>
      </c>
      <c r="C398" s="1100"/>
      <c r="D398" s="1100"/>
      <c r="E398" s="1100"/>
      <c r="F398" s="1100"/>
      <c r="G398" s="1100"/>
      <c r="H398" s="1100"/>
      <c r="I398" s="1100"/>
      <c r="J398" s="1100"/>
      <c r="K398" s="1100"/>
      <c r="L398" s="1100"/>
      <c r="M398" s="1100"/>
      <c r="N398" s="1100"/>
      <c r="O398" s="1100"/>
      <c r="P398" s="1100"/>
    </row>
    <row r="399" spans="1:16" hidden="1">
      <c r="A399" s="1101"/>
      <c r="B399" s="1105" t="s">
        <v>153</v>
      </c>
      <c r="C399" s="1100"/>
      <c r="D399" s="1100"/>
      <c r="E399" s="1100"/>
      <c r="F399" s="1100"/>
      <c r="G399" s="1100"/>
      <c r="H399" s="1100"/>
      <c r="I399" s="1100"/>
      <c r="J399" s="1100"/>
      <c r="K399" s="1100"/>
      <c r="L399" s="1100"/>
      <c r="M399" s="1100"/>
      <c r="N399" s="1100"/>
      <c r="O399" s="1100"/>
      <c r="P399" s="1100"/>
    </row>
    <row r="400" spans="1:16" hidden="1">
      <c r="A400" s="1101"/>
      <c r="B400" s="1105"/>
      <c r="C400" s="1100"/>
      <c r="D400" s="1100"/>
      <c r="E400" s="1100"/>
      <c r="F400" s="1100"/>
      <c r="G400" s="1100"/>
      <c r="H400" s="1100"/>
      <c r="I400" s="1100"/>
      <c r="J400" s="1100"/>
      <c r="K400" s="1100"/>
      <c r="L400" s="1100"/>
      <c r="M400" s="1100"/>
      <c r="N400" s="1100"/>
      <c r="O400" s="1100"/>
      <c r="P400" s="1100"/>
    </row>
    <row r="401" spans="1:16" hidden="1">
      <c r="A401" s="1101"/>
      <c r="B401" s="1107" t="s">
        <v>143</v>
      </c>
      <c r="C401" s="1100"/>
      <c r="D401" s="1100"/>
      <c r="E401" s="1100"/>
      <c r="F401" s="1100"/>
      <c r="G401" s="1100"/>
      <c r="H401" s="1100"/>
      <c r="I401" s="1100"/>
      <c r="J401" s="1100"/>
      <c r="K401" s="1100"/>
      <c r="L401" s="1100"/>
      <c r="M401" s="1100"/>
      <c r="N401" s="1100"/>
      <c r="O401" s="1100"/>
      <c r="P401" s="1100"/>
    </row>
    <row r="402" spans="1:16" hidden="1">
      <c r="A402" s="1101"/>
      <c r="B402" s="1105"/>
      <c r="C402" s="1100"/>
      <c r="D402" s="1100"/>
      <c r="E402" s="1100"/>
      <c r="F402" s="1100"/>
      <c r="G402" s="1100"/>
      <c r="H402" s="1100"/>
      <c r="I402" s="1100"/>
      <c r="J402" s="1100"/>
      <c r="K402" s="1100"/>
      <c r="L402" s="1100"/>
      <c r="M402" s="1100"/>
      <c r="N402" s="1100"/>
      <c r="O402" s="1100"/>
      <c r="P402" s="1100"/>
    </row>
    <row r="403" spans="1:16">
      <c r="A403" s="1101" t="s">
        <v>33</v>
      </c>
      <c r="B403" s="1105" t="s">
        <v>1228</v>
      </c>
      <c r="C403" s="1100"/>
      <c r="D403" s="1100"/>
      <c r="E403" s="1100"/>
      <c r="F403" s="1100"/>
      <c r="G403" s="1100"/>
      <c r="H403" s="1100"/>
      <c r="I403" s="1100"/>
      <c r="J403" s="1100"/>
      <c r="K403" s="1100"/>
      <c r="L403" s="1100"/>
      <c r="M403" s="1100"/>
      <c r="N403" s="1100"/>
      <c r="O403" s="1100"/>
      <c r="P403" s="1100"/>
    </row>
    <row r="404" spans="1:16">
      <c r="A404" s="1101"/>
      <c r="B404" s="1105"/>
      <c r="C404" s="1100"/>
      <c r="D404" s="1100"/>
      <c r="E404" s="1100"/>
      <c r="F404" s="1100"/>
      <c r="G404" s="1100"/>
      <c r="H404" s="1100"/>
      <c r="I404" s="1100"/>
      <c r="J404" s="1100"/>
      <c r="K404" s="1100"/>
      <c r="L404" s="1100"/>
      <c r="M404" s="1100"/>
      <c r="N404" s="1100"/>
      <c r="O404" s="1100"/>
      <c r="P404" s="1100"/>
    </row>
    <row r="405" spans="1:16">
      <c r="A405" s="1106" t="s">
        <v>39</v>
      </c>
      <c r="B405" s="1107" t="s">
        <v>1200</v>
      </c>
      <c r="C405" s="1100"/>
      <c r="D405" s="1100"/>
      <c r="E405" s="1100"/>
      <c r="F405" s="1100"/>
      <c r="G405" s="1100"/>
      <c r="H405" s="1100"/>
      <c r="I405" s="1100"/>
      <c r="J405" s="1100"/>
      <c r="K405" s="1100"/>
      <c r="L405" s="1100"/>
      <c r="M405" s="1100"/>
      <c r="N405" s="1100"/>
      <c r="O405" s="1100"/>
      <c r="P405" s="1100"/>
    </row>
    <row r="406" spans="1:16">
      <c r="A406" s="1101" t="s">
        <v>15</v>
      </c>
      <c r="B406" s="1116" t="s">
        <v>2108</v>
      </c>
      <c r="C406" s="1123">
        <v>7.5</v>
      </c>
      <c r="D406" s="1100" t="s">
        <v>2074</v>
      </c>
      <c r="E406" s="1100"/>
      <c r="F406" s="1100" t="s">
        <v>2075</v>
      </c>
      <c r="G406" s="1118"/>
      <c r="H406" s="1119"/>
      <c r="I406" s="1120" t="s">
        <v>2147</v>
      </c>
      <c r="J406" s="1121">
        <f>+'[3]Summary '!$E$83</f>
        <v>19.999047999999998</v>
      </c>
      <c r="K406" s="1100"/>
      <c r="L406" s="1121">
        <f>+'[3]Summary '!$E$99</f>
        <v>10.28956196</v>
      </c>
      <c r="M406" s="1100"/>
      <c r="N406" s="1121">
        <f>+'[3]Summary '!$E$115+'[3]Summary '!$E$123-'[3]Summary '!$E$107</f>
        <v>-0.66356258800000001</v>
      </c>
      <c r="O406" s="1122">
        <f>SUM(K406:N406)</f>
        <v>9.6259993720000008</v>
      </c>
      <c r="P406" s="1122">
        <f>+O406/J406*10</f>
        <v>4.8132287956906756</v>
      </c>
    </row>
    <row r="407" spans="1:16" ht="31.5">
      <c r="A407" s="1101" t="s">
        <v>16</v>
      </c>
      <c r="B407" s="1137" t="s">
        <v>2142</v>
      </c>
      <c r="C407" s="1123"/>
      <c r="D407" s="1100" t="s">
        <v>2074</v>
      </c>
      <c r="E407" s="1100"/>
      <c r="F407" s="1100" t="s">
        <v>2075</v>
      </c>
      <c r="G407" s="1118"/>
      <c r="H407" s="1119"/>
      <c r="I407" s="1124">
        <v>5</v>
      </c>
      <c r="J407" s="1121">
        <f>+'[3]Summary '!$E$86</f>
        <v>11.040000000000001</v>
      </c>
      <c r="K407" s="1100"/>
      <c r="L407" s="1121">
        <f>+'[3]Summary '!$E$102</f>
        <v>6.5688000000000004</v>
      </c>
      <c r="M407" s="1100"/>
      <c r="N407" s="1121">
        <f>+'[3]Summary '!$E$118+'[3]Summary '!$E$126-'[3]Summary '!$E$110</f>
        <v>-4.5214000000000011E-2</v>
      </c>
      <c r="O407" s="1122">
        <f t="shared" ref="O407" si="2">SUM(K407:N407)</f>
        <v>6.5235860000000008</v>
      </c>
      <c r="P407" s="1122">
        <f>+O407/J407*10</f>
        <v>5.9090452898550723</v>
      </c>
    </row>
    <row r="408" spans="1:16">
      <c r="A408" s="1101"/>
      <c r="B408" s="1116"/>
      <c r="C408" s="1100"/>
      <c r="D408" s="1100"/>
      <c r="E408" s="1100"/>
      <c r="F408" s="1100"/>
      <c r="G408" s="1100"/>
      <c r="H408" s="1100"/>
      <c r="I408" s="1100"/>
      <c r="J408" s="1100"/>
      <c r="K408" s="1100"/>
      <c r="L408" s="1100"/>
      <c r="M408" s="1100"/>
      <c r="N408" s="1100"/>
      <c r="O408" s="1100"/>
      <c r="P408" s="1100"/>
    </row>
    <row r="409" spans="1:16">
      <c r="A409" s="1101"/>
      <c r="B409" s="1125" t="s">
        <v>1473</v>
      </c>
      <c r="C409" s="1126"/>
      <c r="D409" s="1126"/>
      <c r="E409" s="1126"/>
      <c r="F409" s="1126"/>
      <c r="G409" s="1126"/>
      <c r="H409" s="1126"/>
      <c r="I409" s="1127" t="s">
        <v>2120</v>
      </c>
      <c r="J409" s="1128">
        <f>SUM(J406:J408)</f>
        <v>31.039048000000001</v>
      </c>
      <c r="K409" s="1126"/>
      <c r="L409" s="1128">
        <f>SUM(L406:L408)</f>
        <v>16.85836196</v>
      </c>
      <c r="M409" s="1126"/>
      <c r="N409" s="1128">
        <f>SUM(N406:N408)</f>
        <v>-0.70877658799999999</v>
      </c>
      <c r="O409" s="1128">
        <f>SUM(O406:O408)</f>
        <v>16.149585372000001</v>
      </c>
      <c r="P409" s="1111">
        <f>+O409/J409*10</f>
        <v>5.202989915154614</v>
      </c>
    </row>
    <row r="410" spans="1:16" hidden="1">
      <c r="A410" s="1101"/>
      <c r="B410" s="1105"/>
      <c r="C410" s="1100"/>
      <c r="D410" s="1100"/>
      <c r="E410" s="1100"/>
      <c r="F410" s="1100"/>
      <c r="G410" s="1100"/>
      <c r="H410" s="1100"/>
      <c r="I410" s="1100"/>
      <c r="J410" s="1100"/>
      <c r="K410" s="1100"/>
      <c r="L410" s="1100"/>
      <c r="M410" s="1100"/>
      <c r="N410" s="1100"/>
      <c r="O410" s="1100"/>
      <c r="P410" s="1100"/>
    </row>
    <row r="411" spans="1:16" hidden="1">
      <c r="A411" s="1101" t="s">
        <v>40</v>
      </c>
      <c r="B411" s="1105" t="s">
        <v>1474</v>
      </c>
      <c r="C411" s="1100"/>
      <c r="D411" s="1100"/>
      <c r="E411" s="1100"/>
      <c r="F411" s="1100"/>
      <c r="G411" s="1100"/>
      <c r="H411" s="1100"/>
      <c r="I411" s="1100"/>
      <c r="J411" s="1100"/>
      <c r="K411" s="1100"/>
      <c r="L411" s="1100"/>
      <c r="M411" s="1100"/>
      <c r="N411" s="1100"/>
      <c r="O411" s="1100"/>
      <c r="P411" s="1100"/>
    </row>
    <row r="412" spans="1:16" hidden="1">
      <c r="A412" s="1101"/>
      <c r="B412" s="1129" t="s">
        <v>1475</v>
      </c>
      <c r="C412" s="1100"/>
      <c r="D412" s="1100"/>
      <c r="E412" s="1100"/>
      <c r="F412" s="1100"/>
      <c r="G412" s="1100"/>
      <c r="H412" s="1100"/>
      <c r="I412" s="1100"/>
      <c r="J412" s="1100"/>
      <c r="K412" s="1100"/>
      <c r="L412" s="1100"/>
      <c r="M412" s="1100"/>
      <c r="N412" s="1100"/>
      <c r="O412" s="1100"/>
      <c r="P412" s="1100"/>
    </row>
    <row r="413" spans="1:16" hidden="1">
      <c r="A413" s="1101"/>
      <c r="B413" s="1105" t="s">
        <v>1476</v>
      </c>
      <c r="C413" s="1100"/>
      <c r="D413" s="1100"/>
      <c r="E413" s="1100"/>
      <c r="F413" s="1100"/>
      <c r="G413" s="1100"/>
      <c r="H413" s="1100"/>
      <c r="I413" s="1100"/>
      <c r="J413" s="1100"/>
      <c r="K413" s="1100"/>
      <c r="L413" s="1100"/>
      <c r="M413" s="1100"/>
      <c r="N413" s="1100"/>
      <c r="O413" s="1100"/>
      <c r="P413" s="1100"/>
    </row>
    <row r="414" spans="1:16" hidden="1">
      <c r="A414" s="1101"/>
      <c r="B414" s="1107" t="s">
        <v>1477</v>
      </c>
      <c r="C414" s="1100"/>
      <c r="D414" s="1100"/>
      <c r="E414" s="1100"/>
      <c r="F414" s="1100"/>
      <c r="G414" s="1100"/>
      <c r="H414" s="1100"/>
      <c r="I414" s="1100"/>
      <c r="J414" s="1100"/>
      <c r="K414" s="1100"/>
      <c r="L414" s="1100"/>
      <c r="M414" s="1100"/>
      <c r="N414" s="1100"/>
      <c r="O414" s="1100"/>
      <c r="P414" s="1100"/>
    </row>
    <row r="415" spans="1:16" hidden="1">
      <c r="A415" s="1101"/>
      <c r="B415" s="1105"/>
      <c r="C415" s="1100"/>
      <c r="D415" s="1100"/>
      <c r="E415" s="1100"/>
      <c r="F415" s="1100"/>
      <c r="G415" s="1100"/>
      <c r="H415" s="1100"/>
      <c r="I415" s="1100"/>
      <c r="J415" s="1100"/>
      <c r="K415" s="1100"/>
      <c r="L415" s="1100"/>
      <c r="M415" s="1100"/>
      <c r="N415" s="1100"/>
      <c r="O415" s="1100"/>
      <c r="P415" s="1100"/>
    </row>
    <row r="416" spans="1:16" hidden="1">
      <c r="A416" s="1101" t="s">
        <v>41</v>
      </c>
      <c r="B416" s="1105" t="s">
        <v>1356</v>
      </c>
      <c r="C416" s="1100"/>
      <c r="D416" s="1100"/>
      <c r="E416" s="1100"/>
      <c r="F416" s="1100"/>
      <c r="G416" s="1100"/>
      <c r="H416" s="1100"/>
      <c r="I416" s="1100"/>
      <c r="J416" s="1100"/>
      <c r="K416" s="1100"/>
      <c r="L416" s="1100"/>
      <c r="M416" s="1100"/>
      <c r="N416" s="1100"/>
      <c r="O416" s="1100"/>
      <c r="P416" s="1100"/>
    </row>
    <row r="417" spans="1:16" hidden="1">
      <c r="A417" s="1101"/>
      <c r="B417" s="1105"/>
      <c r="C417" s="1100"/>
      <c r="D417" s="1100"/>
      <c r="E417" s="1100"/>
      <c r="F417" s="1100"/>
      <c r="G417" s="1100"/>
      <c r="H417" s="1100"/>
      <c r="I417" s="1100"/>
      <c r="J417" s="1100"/>
      <c r="K417" s="1100"/>
      <c r="L417" s="1100"/>
      <c r="M417" s="1100"/>
      <c r="N417" s="1100"/>
      <c r="O417" s="1100"/>
      <c r="P417" s="1100"/>
    </row>
    <row r="418" spans="1:16" hidden="1">
      <c r="A418" s="1101">
        <v>1</v>
      </c>
      <c r="B418" s="1105" t="s">
        <v>1478</v>
      </c>
      <c r="C418" s="1100"/>
      <c r="D418" s="1100"/>
      <c r="E418" s="1100"/>
      <c r="F418" s="1100"/>
      <c r="G418" s="1100"/>
      <c r="H418" s="1100"/>
      <c r="I418" s="1100"/>
      <c r="J418" s="1100"/>
      <c r="K418" s="1100"/>
      <c r="L418" s="1100"/>
      <c r="M418" s="1100"/>
      <c r="N418" s="1100"/>
      <c r="O418" s="1100"/>
      <c r="P418" s="1100"/>
    </row>
    <row r="419" spans="1:16" hidden="1">
      <c r="A419" s="1101">
        <v>2</v>
      </c>
      <c r="B419" s="1105" t="s">
        <v>1479</v>
      </c>
      <c r="C419" s="1100"/>
      <c r="D419" s="1100"/>
      <c r="E419" s="1100"/>
      <c r="F419" s="1100"/>
      <c r="G419" s="1100"/>
      <c r="H419" s="1100"/>
      <c r="I419" s="1100"/>
      <c r="J419" s="1100"/>
      <c r="K419" s="1100"/>
      <c r="L419" s="1100"/>
      <c r="M419" s="1100"/>
      <c r="N419" s="1100"/>
      <c r="O419" s="1100"/>
      <c r="P419" s="1100"/>
    </row>
    <row r="420" spans="1:16" hidden="1">
      <c r="A420" s="1101">
        <v>3</v>
      </c>
      <c r="B420" s="1105"/>
      <c r="C420" s="1100"/>
      <c r="D420" s="1100"/>
      <c r="E420" s="1100"/>
      <c r="F420" s="1100"/>
      <c r="G420" s="1100"/>
      <c r="H420" s="1100"/>
      <c r="I420" s="1100"/>
      <c r="J420" s="1100"/>
      <c r="K420" s="1100"/>
      <c r="L420" s="1100"/>
      <c r="M420" s="1100"/>
      <c r="N420" s="1100"/>
      <c r="O420" s="1100"/>
      <c r="P420" s="1100"/>
    </row>
    <row r="421" spans="1:16" hidden="1">
      <c r="A421" s="1101">
        <v>4</v>
      </c>
      <c r="B421" s="1105"/>
      <c r="C421" s="1100"/>
      <c r="D421" s="1100"/>
      <c r="E421" s="1100"/>
      <c r="F421" s="1100"/>
      <c r="G421" s="1100"/>
      <c r="H421" s="1100"/>
      <c r="I421" s="1100"/>
      <c r="J421" s="1100"/>
      <c r="K421" s="1100"/>
      <c r="L421" s="1100"/>
      <c r="M421" s="1100"/>
      <c r="N421" s="1100"/>
      <c r="O421" s="1100"/>
      <c r="P421" s="1100"/>
    </row>
    <row r="422" spans="1:16" hidden="1">
      <c r="A422" s="1101">
        <v>5</v>
      </c>
      <c r="B422" s="1105"/>
      <c r="C422" s="1100"/>
      <c r="D422" s="1100"/>
      <c r="E422" s="1100"/>
      <c r="F422" s="1100"/>
      <c r="G422" s="1100"/>
      <c r="H422" s="1100"/>
      <c r="I422" s="1100"/>
      <c r="J422" s="1100"/>
      <c r="K422" s="1100"/>
      <c r="L422" s="1100"/>
      <c r="M422" s="1100"/>
      <c r="N422" s="1100"/>
      <c r="O422" s="1100"/>
      <c r="P422" s="1100"/>
    </row>
    <row r="423" spans="1:16" hidden="1">
      <c r="A423" s="1101">
        <v>6</v>
      </c>
      <c r="B423" s="1105"/>
      <c r="C423" s="1100"/>
      <c r="D423" s="1100"/>
      <c r="E423" s="1100"/>
      <c r="F423" s="1100"/>
      <c r="G423" s="1100"/>
      <c r="H423" s="1100"/>
      <c r="I423" s="1100"/>
      <c r="J423" s="1100"/>
      <c r="K423" s="1100"/>
      <c r="L423" s="1100"/>
      <c r="M423" s="1100"/>
      <c r="N423" s="1100"/>
      <c r="O423" s="1100"/>
      <c r="P423" s="1100"/>
    </row>
    <row r="424" spans="1:16" hidden="1">
      <c r="A424" s="1101">
        <v>7</v>
      </c>
      <c r="B424" s="1105"/>
      <c r="C424" s="1100"/>
      <c r="D424" s="1100"/>
      <c r="E424" s="1100"/>
      <c r="F424" s="1100"/>
      <c r="G424" s="1100"/>
      <c r="H424" s="1100"/>
      <c r="I424" s="1100"/>
      <c r="J424" s="1100"/>
      <c r="K424" s="1100"/>
      <c r="L424" s="1100"/>
      <c r="M424" s="1100"/>
      <c r="N424" s="1100"/>
      <c r="O424" s="1100"/>
      <c r="P424" s="1100"/>
    </row>
    <row r="425" spans="1:16" hidden="1">
      <c r="A425" s="1101"/>
      <c r="B425" s="1105"/>
      <c r="C425" s="1100"/>
      <c r="D425" s="1100"/>
      <c r="E425" s="1100"/>
      <c r="F425" s="1100"/>
      <c r="G425" s="1100"/>
      <c r="H425" s="1100"/>
      <c r="I425" s="1100"/>
      <c r="J425" s="1100"/>
      <c r="K425" s="1100"/>
      <c r="L425" s="1100"/>
      <c r="M425" s="1100"/>
      <c r="N425" s="1100"/>
      <c r="O425" s="1100"/>
      <c r="P425" s="1100"/>
    </row>
    <row r="426" spans="1:16" hidden="1">
      <c r="A426" s="1101"/>
      <c r="B426" s="1105"/>
      <c r="C426" s="1100"/>
      <c r="D426" s="1100"/>
      <c r="E426" s="1100"/>
      <c r="F426" s="1100"/>
      <c r="G426" s="1100"/>
      <c r="H426" s="1100"/>
      <c r="I426" s="1100"/>
      <c r="J426" s="1100"/>
      <c r="K426" s="1100"/>
      <c r="L426" s="1100"/>
      <c r="M426" s="1100"/>
      <c r="N426" s="1100"/>
      <c r="O426" s="1100"/>
      <c r="P426" s="1100"/>
    </row>
    <row r="427" spans="1:16" hidden="1">
      <c r="A427" s="1101" t="s">
        <v>90</v>
      </c>
      <c r="B427" s="1105" t="s">
        <v>1241</v>
      </c>
      <c r="C427" s="1100"/>
      <c r="D427" s="1100"/>
      <c r="E427" s="1100"/>
      <c r="F427" s="1100"/>
      <c r="G427" s="1100"/>
      <c r="H427" s="1100"/>
      <c r="I427" s="1100"/>
      <c r="J427" s="1100"/>
      <c r="K427" s="1100"/>
      <c r="L427" s="1100"/>
      <c r="M427" s="1100"/>
      <c r="N427" s="1100"/>
      <c r="O427" s="1100"/>
      <c r="P427" s="1100"/>
    </row>
    <row r="428" spans="1:16" hidden="1">
      <c r="A428" s="1101">
        <v>1</v>
      </c>
      <c r="B428" s="1105" t="s">
        <v>1480</v>
      </c>
      <c r="C428" s="1100"/>
      <c r="D428" s="1100"/>
      <c r="E428" s="1100"/>
      <c r="F428" s="1100"/>
      <c r="G428" s="1100"/>
      <c r="H428" s="1100"/>
      <c r="I428" s="1100"/>
      <c r="J428" s="1100"/>
      <c r="K428" s="1100"/>
      <c r="L428" s="1100"/>
      <c r="M428" s="1100"/>
      <c r="N428" s="1100"/>
      <c r="O428" s="1100"/>
      <c r="P428" s="1100"/>
    </row>
    <row r="429" spans="1:16" hidden="1">
      <c r="A429" s="1101">
        <v>2</v>
      </c>
      <c r="B429" s="1105" t="s">
        <v>1481</v>
      </c>
      <c r="C429" s="1100"/>
      <c r="D429" s="1100"/>
      <c r="E429" s="1100"/>
      <c r="F429" s="1100"/>
      <c r="G429" s="1100"/>
      <c r="H429" s="1100"/>
      <c r="I429" s="1100"/>
      <c r="J429" s="1100"/>
      <c r="K429" s="1100"/>
      <c r="L429" s="1100"/>
      <c r="M429" s="1100"/>
      <c r="N429" s="1100"/>
      <c r="O429" s="1100"/>
      <c r="P429" s="1100"/>
    </row>
    <row r="430" spans="1:16" hidden="1">
      <c r="A430" s="1101">
        <v>3</v>
      </c>
      <c r="B430" s="1105" t="s">
        <v>1482</v>
      </c>
      <c r="C430" s="1100"/>
      <c r="D430" s="1100"/>
      <c r="E430" s="1100"/>
      <c r="F430" s="1100"/>
      <c r="G430" s="1100"/>
      <c r="H430" s="1100"/>
      <c r="I430" s="1100"/>
      <c r="J430" s="1100"/>
      <c r="K430" s="1100"/>
      <c r="L430" s="1100"/>
      <c r="M430" s="1100"/>
      <c r="N430" s="1100"/>
      <c r="O430" s="1100"/>
      <c r="P430" s="1100"/>
    </row>
    <row r="431" spans="1:16" hidden="1">
      <c r="A431" s="1101">
        <v>4</v>
      </c>
      <c r="B431" s="1105" t="s">
        <v>1483</v>
      </c>
      <c r="C431" s="1100"/>
      <c r="D431" s="1100"/>
      <c r="E431" s="1100"/>
      <c r="F431" s="1100"/>
      <c r="G431" s="1100"/>
      <c r="H431" s="1100"/>
      <c r="I431" s="1100"/>
      <c r="J431" s="1100"/>
      <c r="K431" s="1100"/>
      <c r="L431" s="1100"/>
      <c r="M431" s="1100"/>
      <c r="N431" s="1100"/>
      <c r="O431" s="1100"/>
      <c r="P431" s="1100"/>
    </row>
    <row r="432" spans="1:16" hidden="1">
      <c r="A432" s="1101">
        <v>5</v>
      </c>
      <c r="B432" s="1105" t="s">
        <v>1484</v>
      </c>
      <c r="C432" s="1100"/>
      <c r="D432" s="1100"/>
      <c r="E432" s="1100"/>
      <c r="F432" s="1100"/>
      <c r="G432" s="1100"/>
      <c r="H432" s="1100"/>
      <c r="I432" s="1100"/>
      <c r="J432" s="1100"/>
      <c r="K432" s="1100"/>
      <c r="L432" s="1100"/>
      <c r="M432" s="1100"/>
      <c r="N432" s="1100"/>
      <c r="O432" s="1100"/>
      <c r="P432" s="1100"/>
    </row>
    <row r="433" spans="1:16" hidden="1">
      <c r="A433" s="1101">
        <v>6</v>
      </c>
      <c r="B433" s="1105" t="s">
        <v>1485</v>
      </c>
      <c r="C433" s="1100"/>
      <c r="D433" s="1100"/>
      <c r="E433" s="1100"/>
      <c r="F433" s="1100"/>
      <c r="G433" s="1100"/>
      <c r="H433" s="1100"/>
      <c r="I433" s="1100"/>
      <c r="J433" s="1100"/>
      <c r="K433" s="1100"/>
      <c r="L433" s="1100"/>
      <c r="M433" s="1100"/>
      <c r="N433" s="1100"/>
      <c r="O433" s="1100"/>
      <c r="P433" s="1100"/>
    </row>
    <row r="434" spans="1:16" hidden="1">
      <c r="A434" s="1101">
        <v>7</v>
      </c>
      <c r="B434" s="1105" t="s">
        <v>1486</v>
      </c>
      <c r="C434" s="1100"/>
      <c r="D434" s="1100"/>
      <c r="E434" s="1100"/>
      <c r="F434" s="1100"/>
      <c r="G434" s="1100"/>
      <c r="H434" s="1100"/>
      <c r="I434" s="1100"/>
      <c r="J434" s="1100"/>
      <c r="K434" s="1100"/>
      <c r="L434" s="1100"/>
      <c r="M434" s="1100"/>
      <c r="N434" s="1100"/>
      <c r="O434" s="1100"/>
      <c r="P434" s="1100"/>
    </row>
    <row r="435" spans="1:16" hidden="1">
      <c r="A435" s="1106"/>
      <c r="B435" s="1107" t="s">
        <v>1487</v>
      </c>
      <c r="C435" s="1100"/>
      <c r="D435" s="1100"/>
      <c r="E435" s="1100"/>
      <c r="F435" s="1100"/>
      <c r="G435" s="1100"/>
      <c r="H435" s="1100"/>
      <c r="I435" s="1100"/>
      <c r="J435" s="1100"/>
      <c r="K435" s="1100"/>
      <c r="L435" s="1100"/>
      <c r="M435" s="1100"/>
      <c r="N435" s="1100"/>
      <c r="O435" s="1100"/>
      <c r="P435" s="1100"/>
    </row>
    <row r="436" spans="1:16" hidden="1">
      <c r="A436" s="1101"/>
      <c r="B436" s="1105"/>
      <c r="C436" s="1100"/>
      <c r="D436" s="1100"/>
      <c r="E436" s="1100"/>
      <c r="F436" s="1100"/>
      <c r="G436" s="1100"/>
      <c r="H436" s="1100"/>
      <c r="I436" s="1100"/>
      <c r="J436" s="1100"/>
      <c r="K436" s="1100"/>
      <c r="L436" s="1100"/>
      <c r="M436" s="1100"/>
      <c r="N436" s="1100"/>
      <c r="O436" s="1100"/>
      <c r="P436" s="1100"/>
    </row>
    <row r="437" spans="1:16" hidden="1">
      <c r="A437" s="1101" t="s">
        <v>91</v>
      </c>
      <c r="B437" s="1105" t="s">
        <v>1500</v>
      </c>
      <c r="C437" s="1100"/>
      <c r="D437" s="1100"/>
      <c r="E437" s="1100"/>
      <c r="F437" s="1100"/>
      <c r="G437" s="1100"/>
      <c r="H437" s="1100"/>
      <c r="I437" s="1100"/>
      <c r="J437" s="1100"/>
      <c r="K437" s="1100"/>
      <c r="L437" s="1100"/>
      <c r="M437" s="1100"/>
      <c r="N437" s="1100"/>
      <c r="O437" s="1100"/>
      <c r="P437" s="1100"/>
    </row>
    <row r="438" spans="1:16" hidden="1">
      <c r="A438" s="1101"/>
      <c r="B438" s="1105" t="s">
        <v>1500</v>
      </c>
      <c r="C438" s="1100"/>
      <c r="D438" s="1100"/>
      <c r="E438" s="1100"/>
      <c r="F438" s="1100"/>
      <c r="G438" s="1100"/>
      <c r="H438" s="1100"/>
      <c r="I438" s="1100"/>
      <c r="J438" s="1100"/>
      <c r="K438" s="1100"/>
      <c r="L438" s="1100"/>
      <c r="M438" s="1100"/>
      <c r="N438" s="1100"/>
      <c r="O438" s="1100"/>
      <c r="P438" s="1100"/>
    </row>
    <row r="439" spans="1:16" hidden="1">
      <c r="A439" s="1101"/>
      <c r="B439" s="1105" t="s">
        <v>2008</v>
      </c>
      <c r="C439" s="1100"/>
      <c r="D439" s="1100"/>
      <c r="E439" s="1100"/>
      <c r="F439" s="1100"/>
      <c r="G439" s="1100"/>
      <c r="H439" s="1100"/>
      <c r="I439" s="1100"/>
      <c r="J439" s="1100"/>
      <c r="K439" s="1100"/>
      <c r="L439" s="1100"/>
      <c r="M439" s="1100"/>
      <c r="N439" s="1100"/>
      <c r="O439" s="1100"/>
      <c r="P439" s="1100"/>
    </row>
    <row r="440" spans="1:16" hidden="1">
      <c r="A440" s="1101"/>
      <c r="B440" s="1105" t="s">
        <v>2009</v>
      </c>
      <c r="C440" s="1100"/>
      <c r="D440" s="1100"/>
      <c r="E440" s="1100"/>
      <c r="F440" s="1100"/>
      <c r="G440" s="1100"/>
      <c r="H440" s="1100"/>
      <c r="I440" s="1100"/>
      <c r="J440" s="1100"/>
      <c r="K440" s="1100"/>
      <c r="L440" s="1100"/>
      <c r="M440" s="1100"/>
      <c r="N440" s="1100"/>
      <c r="O440" s="1100"/>
      <c r="P440" s="1100"/>
    </row>
    <row r="441" spans="1:16" hidden="1">
      <c r="A441" s="1101"/>
      <c r="B441" s="1105"/>
      <c r="C441" s="1100"/>
      <c r="D441" s="1100"/>
      <c r="E441" s="1100"/>
      <c r="F441" s="1100"/>
      <c r="G441" s="1100"/>
      <c r="H441" s="1100"/>
      <c r="I441" s="1100"/>
      <c r="J441" s="1100"/>
      <c r="K441" s="1100"/>
      <c r="L441" s="1100"/>
      <c r="M441" s="1100"/>
      <c r="N441" s="1100"/>
      <c r="O441" s="1100"/>
      <c r="P441" s="1100"/>
    </row>
    <row r="442" spans="1:16" hidden="1">
      <c r="A442" s="1101" t="s">
        <v>92</v>
      </c>
      <c r="B442" s="1105" t="s">
        <v>1488</v>
      </c>
      <c r="C442" s="1100"/>
      <c r="D442" s="1100"/>
      <c r="E442" s="1100"/>
      <c r="F442" s="1100"/>
      <c r="G442" s="1100"/>
      <c r="H442" s="1100"/>
      <c r="I442" s="1100"/>
      <c r="J442" s="1100"/>
      <c r="K442" s="1100"/>
      <c r="L442" s="1100"/>
      <c r="M442" s="1100"/>
      <c r="N442" s="1100"/>
      <c r="O442" s="1100"/>
      <c r="P442" s="1100"/>
    </row>
    <row r="443" spans="1:16" hidden="1">
      <c r="A443" s="1101" t="s">
        <v>155</v>
      </c>
      <c r="B443" s="1105" t="s">
        <v>1201</v>
      </c>
      <c r="C443" s="1100"/>
      <c r="D443" s="1100"/>
      <c r="E443" s="1100"/>
      <c r="F443" s="1100"/>
      <c r="G443" s="1100"/>
      <c r="H443" s="1100"/>
      <c r="I443" s="1100"/>
      <c r="J443" s="1100"/>
      <c r="K443" s="1100"/>
      <c r="L443" s="1100"/>
      <c r="M443" s="1100"/>
      <c r="N443" s="1100"/>
      <c r="O443" s="1100"/>
      <c r="P443" s="1100"/>
    </row>
    <row r="444" spans="1:16" hidden="1">
      <c r="A444" s="1101" t="s">
        <v>316</v>
      </c>
      <c r="B444" s="1105" t="s">
        <v>1242</v>
      </c>
      <c r="C444" s="1100"/>
      <c r="D444" s="1100"/>
      <c r="E444" s="1100"/>
      <c r="F444" s="1100"/>
      <c r="G444" s="1100"/>
      <c r="H444" s="1100"/>
      <c r="I444" s="1100"/>
      <c r="J444" s="1100"/>
      <c r="K444" s="1100"/>
      <c r="L444" s="1100"/>
      <c r="M444" s="1100"/>
      <c r="N444" s="1100"/>
      <c r="O444" s="1100"/>
      <c r="P444" s="1100"/>
    </row>
    <row r="445" spans="1:16">
      <c r="A445" s="1130" t="s">
        <v>92</v>
      </c>
      <c r="B445" s="1131" t="s">
        <v>2010</v>
      </c>
      <c r="C445" s="1100"/>
      <c r="D445" s="1100"/>
      <c r="E445" s="1100"/>
      <c r="F445" s="1100"/>
      <c r="G445" s="1100"/>
      <c r="H445" s="1100"/>
      <c r="I445" s="1100"/>
      <c r="J445" s="1100"/>
      <c r="K445" s="1100"/>
      <c r="L445" s="1100"/>
      <c r="M445" s="1100"/>
      <c r="N445" s="1100"/>
      <c r="O445" s="1100"/>
      <c r="P445" s="1100"/>
    </row>
    <row r="446" spans="1:16">
      <c r="A446" s="1130"/>
      <c r="B446" s="1131" t="s">
        <v>2011</v>
      </c>
      <c r="C446" s="1100"/>
      <c r="D446" s="1100"/>
      <c r="E446" s="1100"/>
      <c r="F446" s="1100"/>
      <c r="G446" s="1100"/>
      <c r="H446" s="1100"/>
      <c r="I446" s="1100"/>
      <c r="J446" s="1100"/>
      <c r="K446" s="1100"/>
      <c r="L446" s="1100"/>
      <c r="M446" s="1100"/>
      <c r="N446" s="1100"/>
      <c r="O446" s="1100"/>
      <c r="P446" s="1100"/>
    </row>
    <row r="447" spans="1:16">
      <c r="A447" s="1130" t="s">
        <v>155</v>
      </c>
      <c r="B447" s="1131" t="s">
        <v>2012</v>
      </c>
      <c r="C447" s="1100"/>
      <c r="D447" s="1100"/>
      <c r="E447" s="1100"/>
      <c r="F447" s="1100"/>
      <c r="G447" s="1100"/>
      <c r="H447" s="1100"/>
      <c r="I447" s="1100"/>
      <c r="J447" s="1100"/>
      <c r="K447" s="1100"/>
      <c r="L447" s="1100"/>
      <c r="M447" s="1100"/>
      <c r="N447" s="1132">
        <f>+[3]APR!$H$69</f>
        <v>0.2255316277277421</v>
      </c>
      <c r="O447" s="1121">
        <f>+N447</f>
        <v>0.2255316277277421</v>
      </c>
      <c r="P447" s="1100"/>
    </row>
    <row r="448" spans="1:16" hidden="1">
      <c r="A448" s="1130" t="s">
        <v>316</v>
      </c>
      <c r="B448" s="1131" t="s">
        <v>2013</v>
      </c>
      <c r="C448" s="1100"/>
      <c r="D448" s="1100"/>
      <c r="E448" s="1100"/>
      <c r="F448" s="1100"/>
      <c r="G448" s="1100"/>
      <c r="H448" s="1100"/>
      <c r="I448" s="1100"/>
      <c r="J448" s="1100"/>
      <c r="K448" s="1100"/>
      <c r="L448" s="1100"/>
      <c r="M448" s="1100"/>
      <c r="N448" s="1100"/>
      <c r="O448" s="1100"/>
      <c r="P448" s="1100"/>
    </row>
    <row r="449" spans="1:16" hidden="1">
      <c r="A449" s="1130"/>
      <c r="B449" s="1131" t="s">
        <v>2014</v>
      </c>
      <c r="C449" s="1100"/>
      <c r="D449" s="1100"/>
      <c r="E449" s="1100"/>
      <c r="F449" s="1100"/>
      <c r="G449" s="1100"/>
      <c r="H449" s="1100"/>
      <c r="I449" s="1100"/>
      <c r="J449" s="1100"/>
      <c r="K449" s="1100"/>
      <c r="L449" s="1100"/>
      <c r="M449" s="1100"/>
      <c r="N449" s="1100"/>
      <c r="O449" s="1100"/>
      <c r="P449" s="1100"/>
    </row>
    <row r="450" spans="1:16" hidden="1">
      <c r="A450" s="1130"/>
      <c r="B450" s="1131" t="s">
        <v>2015</v>
      </c>
      <c r="C450" s="1100"/>
      <c r="D450" s="1100"/>
      <c r="E450" s="1100"/>
      <c r="F450" s="1100"/>
      <c r="G450" s="1100"/>
      <c r="H450" s="1100"/>
      <c r="I450" s="1100"/>
      <c r="J450" s="1100"/>
      <c r="K450" s="1100"/>
      <c r="L450" s="1100"/>
      <c r="M450" s="1100"/>
      <c r="N450" s="1100"/>
      <c r="O450" s="1100"/>
      <c r="P450" s="1100"/>
    </row>
    <row r="451" spans="1:16" hidden="1">
      <c r="A451" s="1130"/>
      <c r="B451" s="1131" t="s">
        <v>2016</v>
      </c>
      <c r="C451" s="1100"/>
      <c r="D451" s="1100"/>
      <c r="E451" s="1100"/>
      <c r="F451" s="1100"/>
      <c r="G451" s="1100"/>
      <c r="H451" s="1100"/>
      <c r="I451" s="1100"/>
      <c r="J451" s="1100"/>
      <c r="K451" s="1100"/>
      <c r="L451" s="1100"/>
      <c r="M451" s="1100"/>
      <c r="N451" s="1100"/>
      <c r="O451" s="1100"/>
      <c r="P451" s="1100"/>
    </row>
    <row r="452" spans="1:16" hidden="1">
      <c r="A452" s="1130"/>
      <c r="B452" s="1131" t="s">
        <v>2017</v>
      </c>
      <c r="C452" s="1100"/>
      <c r="D452" s="1100"/>
      <c r="E452" s="1100"/>
      <c r="F452" s="1100"/>
      <c r="G452" s="1100"/>
      <c r="H452" s="1100"/>
      <c r="I452" s="1100"/>
      <c r="J452" s="1100"/>
      <c r="K452" s="1100"/>
      <c r="L452" s="1100"/>
      <c r="M452" s="1100"/>
      <c r="N452" s="1100"/>
      <c r="O452" s="1100"/>
      <c r="P452" s="1100"/>
    </row>
    <row r="453" spans="1:16" hidden="1">
      <c r="A453" s="1130"/>
      <c r="B453" s="1131" t="s">
        <v>2018</v>
      </c>
      <c r="C453" s="1100"/>
      <c r="D453" s="1100"/>
      <c r="E453" s="1100"/>
      <c r="F453" s="1100"/>
      <c r="G453" s="1100"/>
      <c r="H453" s="1100"/>
      <c r="I453" s="1100"/>
      <c r="J453" s="1100"/>
      <c r="K453" s="1100"/>
      <c r="L453" s="1100"/>
      <c r="M453" s="1100"/>
      <c r="N453" s="1100"/>
      <c r="O453" s="1100"/>
      <c r="P453" s="1100"/>
    </row>
    <row r="454" spans="1:16" hidden="1">
      <c r="A454" s="1130"/>
      <c r="B454" s="1131" t="s">
        <v>2019</v>
      </c>
      <c r="C454" s="1100"/>
      <c r="D454" s="1100"/>
      <c r="E454" s="1100"/>
      <c r="F454" s="1100"/>
      <c r="G454" s="1100"/>
      <c r="H454" s="1100"/>
      <c r="I454" s="1100"/>
      <c r="J454" s="1100"/>
      <c r="K454" s="1100"/>
      <c r="L454" s="1100"/>
      <c r="M454" s="1100"/>
      <c r="N454" s="1100"/>
      <c r="O454" s="1100"/>
      <c r="P454" s="1100"/>
    </row>
    <row r="455" spans="1:16">
      <c r="A455" s="1130"/>
      <c r="B455" s="1131" t="s">
        <v>2020</v>
      </c>
      <c r="C455" s="1100"/>
      <c r="D455" s="1100"/>
      <c r="E455" s="1100"/>
      <c r="F455" s="1100"/>
      <c r="G455" s="1100"/>
      <c r="H455" s="1100"/>
      <c r="I455" s="1100"/>
      <c r="J455" s="1100"/>
      <c r="K455" s="1100"/>
      <c r="L455" s="1100"/>
      <c r="M455" s="1100"/>
      <c r="N455" s="1121"/>
      <c r="O455" s="1121"/>
      <c r="P455" s="1100"/>
    </row>
    <row r="456" spans="1:16" hidden="1">
      <c r="A456" s="1130"/>
      <c r="B456" s="1131" t="s">
        <v>2021</v>
      </c>
      <c r="C456" s="1100"/>
      <c r="D456" s="1100"/>
      <c r="E456" s="1100"/>
      <c r="F456" s="1100"/>
      <c r="G456" s="1100"/>
      <c r="H456" s="1100"/>
      <c r="I456" s="1100"/>
      <c r="J456" s="1100"/>
      <c r="K456" s="1100"/>
      <c r="L456" s="1100"/>
      <c r="M456" s="1100"/>
      <c r="N456" s="1100"/>
      <c r="O456" s="1100"/>
      <c r="P456" s="1100"/>
    </row>
    <row r="457" spans="1:16">
      <c r="A457" s="1130" t="s">
        <v>317</v>
      </c>
      <c r="B457" s="1131" t="s">
        <v>1489</v>
      </c>
      <c r="C457" s="1100"/>
      <c r="D457" s="1100"/>
      <c r="E457" s="1100"/>
      <c r="F457" s="1100"/>
      <c r="G457" s="1100"/>
      <c r="H457" s="1100"/>
      <c r="I457" s="1100"/>
      <c r="J457" s="1100"/>
      <c r="K457" s="1100"/>
      <c r="L457" s="1100"/>
      <c r="M457" s="1100"/>
      <c r="N457" s="1100"/>
      <c r="O457" s="1100"/>
      <c r="P457" s="1100"/>
    </row>
    <row r="458" spans="1:16" hidden="1">
      <c r="A458" s="1130" t="s">
        <v>1008</v>
      </c>
      <c r="B458" s="1131" t="s">
        <v>1490</v>
      </c>
      <c r="C458" s="1100"/>
      <c r="D458" s="1100"/>
      <c r="E458" s="1100"/>
      <c r="F458" s="1100"/>
      <c r="G458" s="1100"/>
      <c r="H458" s="1100"/>
      <c r="I458" s="1100"/>
      <c r="J458" s="1100"/>
      <c r="K458" s="1100"/>
      <c r="L458" s="1100"/>
      <c r="M458" s="1100"/>
      <c r="N458" s="1100"/>
      <c r="O458" s="1100"/>
      <c r="P458" s="1100"/>
    </row>
    <row r="459" spans="1:16">
      <c r="A459" s="1101" t="s">
        <v>1258</v>
      </c>
      <c r="B459" s="1105" t="s">
        <v>1491</v>
      </c>
      <c r="C459" s="1100"/>
      <c r="D459" s="1100"/>
      <c r="E459" s="1100"/>
      <c r="F459" s="1100"/>
      <c r="G459" s="1100"/>
      <c r="H459" s="1100"/>
      <c r="I459" s="1100"/>
      <c r="J459" s="1100"/>
      <c r="K459" s="1100"/>
      <c r="L459" s="1100"/>
      <c r="M459" s="1100"/>
      <c r="N459" s="1100"/>
      <c r="O459" s="1100"/>
      <c r="P459" s="1100"/>
    </row>
    <row r="460" spans="1:16">
      <c r="A460" s="1101"/>
      <c r="B460" s="1107" t="s">
        <v>1499</v>
      </c>
      <c r="C460" s="1100"/>
      <c r="D460" s="1100"/>
      <c r="E460" s="1100"/>
      <c r="F460" s="1100"/>
      <c r="G460" s="1100"/>
      <c r="H460" s="1100"/>
      <c r="I460" s="1100"/>
      <c r="J460" s="1133">
        <f>SUM(J411:J459)</f>
        <v>0</v>
      </c>
      <c r="K460" s="1133">
        <f t="shared" ref="K460:O460" si="3">SUM(K411:K459)</f>
        <v>0</v>
      </c>
      <c r="L460" s="1133">
        <f t="shared" si="3"/>
        <v>0</v>
      </c>
      <c r="M460" s="1133">
        <f t="shared" si="3"/>
        <v>0</v>
      </c>
      <c r="N460" s="1133">
        <f t="shared" si="3"/>
        <v>0.2255316277277421</v>
      </c>
      <c r="O460" s="1133">
        <f t="shared" si="3"/>
        <v>0.2255316277277421</v>
      </c>
      <c r="P460" s="1133">
        <v>0</v>
      </c>
    </row>
    <row r="461" spans="1:16">
      <c r="A461" s="657"/>
      <c r="B461" s="656" t="s">
        <v>1492</v>
      </c>
      <c r="C461" s="1100"/>
      <c r="D461" s="1100"/>
      <c r="E461" s="1100"/>
      <c r="F461" s="1100"/>
      <c r="G461" s="1100"/>
      <c r="H461" s="1100"/>
      <c r="I461" s="1100"/>
      <c r="J461" s="1100"/>
      <c r="K461" s="1100"/>
      <c r="L461" s="1100"/>
      <c r="M461" s="1100"/>
      <c r="N461" s="1100"/>
      <c r="O461" s="1100"/>
      <c r="P461" s="1100"/>
    </row>
    <row r="462" spans="1:16">
      <c r="A462" s="657">
        <v>1</v>
      </c>
      <c r="B462" s="656" t="s">
        <v>1493</v>
      </c>
      <c r="C462" s="1100"/>
      <c r="D462" s="1100"/>
      <c r="E462" s="1100"/>
      <c r="F462" s="1100"/>
      <c r="G462" s="1100"/>
      <c r="H462" s="1100"/>
      <c r="I462" s="1100"/>
      <c r="J462" s="1121">
        <f>+'[3]Summary '!$E$85</f>
        <v>0.43379123467258074</v>
      </c>
      <c r="K462" s="1100"/>
      <c r="L462" s="1121">
        <f>+'[3]Summary '!$E$101</f>
        <v>0.30949400600000004</v>
      </c>
      <c r="M462" s="1100"/>
      <c r="N462" s="1121">
        <f>+'[3]Summary '!$E$125</f>
        <v>-8.8030000000000009E-4</v>
      </c>
      <c r="O462" s="1122">
        <f>SUM(K462:N462)</f>
        <v>0.30861370600000004</v>
      </c>
      <c r="P462" s="1122">
        <f>+O462/J462*10</f>
        <v>7.1143370666061791</v>
      </c>
    </row>
    <row r="463" spans="1:16">
      <c r="A463" s="657">
        <v>2</v>
      </c>
      <c r="B463" s="656" t="s">
        <v>1489</v>
      </c>
      <c r="C463" s="1100"/>
      <c r="D463" s="1100"/>
      <c r="E463" s="1100"/>
      <c r="F463" s="1100"/>
      <c r="G463" s="1100"/>
      <c r="H463" s="1100"/>
      <c r="I463" s="1100"/>
      <c r="J463" s="1100"/>
      <c r="K463" s="1100"/>
      <c r="L463" s="1100"/>
      <c r="M463" s="1100"/>
      <c r="N463" s="1100"/>
      <c r="O463" s="1100"/>
      <c r="P463" s="1100"/>
    </row>
    <row r="464" spans="1:16">
      <c r="A464" s="657">
        <v>3</v>
      </c>
      <c r="B464" s="656" t="s">
        <v>1494</v>
      </c>
      <c r="C464" s="1100"/>
      <c r="D464" s="1100"/>
      <c r="E464" s="1100"/>
      <c r="F464" s="1100"/>
      <c r="G464" s="1100"/>
      <c r="H464" s="1100"/>
      <c r="I464" s="1100"/>
      <c r="J464" s="1100"/>
      <c r="K464" s="1100"/>
      <c r="L464" s="1100"/>
      <c r="M464" s="1100"/>
      <c r="N464" s="1100"/>
      <c r="O464" s="1100"/>
      <c r="P464" s="1100"/>
    </row>
    <row r="465" spans="1:16">
      <c r="A465" s="657">
        <v>4</v>
      </c>
      <c r="B465" s="656" t="s">
        <v>1495</v>
      </c>
      <c r="C465" s="1100"/>
      <c r="D465" s="1100"/>
      <c r="E465" s="1100"/>
      <c r="F465" s="1100"/>
      <c r="G465" s="1100"/>
      <c r="H465" s="1100"/>
      <c r="I465" s="1100"/>
      <c r="J465" s="1100"/>
      <c r="K465" s="1100"/>
      <c r="L465" s="1100"/>
      <c r="M465" s="1100"/>
      <c r="N465" s="1100"/>
      <c r="O465" s="1100"/>
      <c r="P465" s="1100"/>
    </row>
    <row r="466" spans="1:16">
      <c r="A466" s="657">
        <v>5</v>
      </c>
      <c r="B466" s="656" t="s">
        <v>1496</v>
      </c>
      <c r="C466" s="1100"/>
      <c r="D466" s="1100"/>
      <c r="E466" s="1100"/>
      <c r="F466" s="1100"/>
      <c r="G466" s="1100"/>
      <c r="H466" s="1100"/>
      <c r="I466" s="1100"/>
      <c r="J466" s="1121">
        <f>+'[3]Summary '!$E$84</f>
        <v>32.323787953730054</v>
      </c>
      <c r="K466" s="1100"/>
      <c r="L466" s="1121">
        <f>+'[3]Summary '!$E$100</f>
        <v>18.345094471395527</v>
      </c>
      <c r="M466" s="1100"/>
      <c r="N466" s="1121">
        <f>+'[3]Summary '!$E$124</f>
        <v>8.9680000000000003E-3</v>
      </c>
      <c r="O466" s="1122">
        <f>SUM(K466:N466)</f>
        <v>18.354062471395526</v>
      </c>
      <c r="P466" s="1122">
        <f>+O466/J466*10</f>
        <v>5.6781904700242691</v>
      </c>
    </row>
    <row r="467" spans="1:16">
      <c r="A467" s="657">
        <v>6</v>
      </c>
      <c r="B467" s="656" t="s">
        <v>1497</v>
      </c>
      <c r="C467" s="1100"/>
      <c r="D467" s="1100"/>
      <c r="E467" s="1100"/>
      <c r="F467" s="1100"/>
      <c r="G467" s="1100"/>
      <c r="H467" s="1100"/>
      <c r="I467" s="1100"/>
      <c r="J467" s="1132"/>
      <c r="K467" s="1100"/>
      <c r="L467" s="1121"/>
      <c r="M467" s="1100"/>
      <c r="N467" s="1100"/>
      <c r="O467" s="1122"/>
      <c r="P467" s="1122"/>
    </row>
    <row r="468" spans="1:16">
      <c r="A468" s="657">
        <v>7</v>
      </c>
      <c r="B468" s="656" t="s">
        <v>1498</v>
      </c>
      <c r="C468" s="1100"/>
      <c r="D468" s="1100"/>
      <c r="E468" s="1100"/>
      <c r="F468" s="1100"/>
      <c r="G468" s="1100"/>
      <c r="H468" s="1100"/>
      <c r="I468" s="1100"/>
      <c r="J468" s="1100"/>
      <c r="K468" s="1100"/>
      <c r="L468" s="1100"/>
      <c r="M468" s="1100"/>
      <c r="N468" s="1100"/>
      <c r="O468" s="1100"/>
      <c r="P468" s="1100"/>
    </row>
    <row r="469" spans="1:16">
      <c r="A469" s="657"/>
      <c r="B469" s="656" t="s">
        <v>1499</v>
      </c>
      <c r="C469" s="1100"/>
      <c r="D469" s="1100"/>
      <c r="E469" s="1100"/>
      <c r="F469" s="1100"/>
      <c r="G469" s="1100"/>
      <c r="H469" s="1100"/>
      <c r="I469" s="1100"/>
      <c r="J469" s="1133">
        <f>SUM(J461:J468)</f>
        <v>32.757579188402637</v>
      </c>
      <c r="K469" s="1100"/>
      <c r="L469" s="1133">
        <f>SUM(L461:L468)</f>
        <v>18.654588477395528</v>
      </c>
      <c r="M469" s="1100"/>
      <c r="N469" s="1133">
        <f>SUM(N461:N468)</f>
        <v>8.0876999999999998E-3</v>
      </c>
      <c r="O469" s="1133">
        <f>SUM(O461:O468)</f>
        <v>18.662676177395525</v>
      </c>
      <c r="P469" s="1133">
        <f>+O469/J469*10</f>
        <v>5.6972085971489577</v>
      </c>
    </row>
    <row r="470" spans="1:16">
      <c r="A470" s="1134"/>
      <c r="B470" s="1105" t="s">
        <v>603</v>
      </c>
      <c r="C470" s="1100"/>
      <c r="D470" s="1100"/>
      <c r="E470" s="1100"/>
      <c r="F470" s="1100"/>
      <c r="G470" s="1100"/>
      <c r="H470" s="1100"/>
      <c r="I470" s="1100"/>
      <c r="J470" s="1100"/>
      <c r="K470" s="1100"/>
      <c r="L470" s="1100"/>
      <c r="M470" s="1100"/>
      <c r="N470" s="1100"/>
      <c r="O470" s="1100"/>
      <c r="P470" s="1100"/>
    </row>
    <row r="471" spans="1:16">
      <c r="A471" s="1101"/>
      <c r="B471" s="1105" t="s">
        <v>1353</v>
      </c>
      <c r="C471" s="1100"/>
      <c r="D471" s="1100"/>
      <c r="E471" s="1100"/>
      <c r="F471" s="1100"/>
      <c r="G471" s="1100"/>
      <c r="H471" s="1100"/>
      <c r="I471" s="1100"/>
      <c r="J471" s="1100"/>
      <c r="K471" s="1100"/>
      <c r="L471" s="1100"/>
      <c r="M471" s="1100"/>
      <c r="N471" s="1100"/>
      <c r="O471" s="1100"/>
      <c r="P471" s="1100"/>
    </row>
    <row r="472" spans="1:16">
      <c r="A472" s="1101"/>
      <c r="B472" s="1105" t="s">
        <v>1354</v>
      </c>
      <c r="C472" s="1100"/>
      <c r="D472" s="1100"/>
      <c r="E472" s="1100"/>
      <c r="F472" s="1100"/>
      <c r="G472" s="1100"/>
      <c r="H472" s="1100"/>
      <c r="I472" s="1100"/>
      <c r="J472" s="1100"/>
      <c r="K472" s="1100"/>
      <c r="L472" s="1100"/>
      <c r="M472" s="1100"/>
      <c r="N472" s="1100"/>
      <c r="O472" s="1100"/>
      <c r="P472" s="1100"/>
    </row>
    <row r="473" spans="1:16">
      <c r="A473" s="1101"/>
      <c r="B473" s="1107" t="s">
        <v>79</v>
      </c>
      <c r="C473" s="1100"/>
      <c r="D473" s="1100"/>
      <c r="E473" s="1100"/>
      <c r="F473" s="1100"/>
      <c r="G473" s="1100"/>
      <c r="H473" s="1100"/>
      <c r="I473" s="1100"/>
      <c r="J473" s="1135">
        <f>+J469+J460+J409+J403+J371+J368+J362+J354+J347+J331+J322+J280+J267+J250+J248</f>
        <v>63.796627188402638</v>
      </c>
      <c r="K473" s="1100"/>
      <c r="L473" s="1135">
        <f>+L469+L460+L409+L403+L371+L368+L362+L354+L347+L331+L322+L280+L267+L250+L248</f>
        <v>35.512950437395531</v>
      </c>
      <c r="M473" s="1100"/>
      <c r="N473" s="1135">
        <f>+N469+N460+N409+N403+N371+N368+N362+N354+N347+N331+N322+N280+N267+N250+N248</f>
        <v>-0.47515726027225791</v>
      </c>
      <c r="O473" s="1135">
        <f>+O469+O460+O409+O403+O371+O368+O362+O354+O347+O331+O322+O280+O267+O250+O248</f>
        <v>35.03779317712327</v>
      </c>
      <c r="P473" s="1133">
        <f>+O473/J473*10</f>
        <v>5.4921074547797826</v>
      </c>
    </row>
    <row r="475" spans="1:16">
      <c r="A475" s="1754" t="s">
        <v>192</v>
      </c>
      <c r="B475" s="1754" t="s">
        <v>193</v>
      </c>
      <c r="C475" s="1755" t="s">
        <v>2024</v>
      </c>
      <c r="D475" s="1756"/>
      <c r="E475" s="1756"/>
      <c r="F475" s="1756"/>
      <c r="G475" s="1756"/>
      <c r="H475" s="1756"/>
      <c r="I475" s="1756"/>
      <c r="J475" s="1756"/>
      <c r="K475" s="1756"/>
      <c r="L475" s="1756"/>
      <c r="M475" s="1756"/>
      <c r="N475" s="1756"/>
      <c r="O475" s="1756"/>
      <c r="P475" s="1756"/>
    </row>
    <row r="476" spans="1:16">
      <c r="A476" s="1754"/>
      <c r="B476" s="1754"/>
      <c r="C476" s="1757"/>
      <c r="D476" s="1758"/>
      <c r="E476" s="1758"/>
      <c r="F476" s="1758"/>
      <c r="G476" s="1758"/>
      <c r="H476" s="1758"/>
      <c r="I476" s="1758"/>
      <c r="J476" s="1758"/>
      <c r="K476" s="1758"/>
      <c r="L476" s="1758"/>
      <c r="M476" s="1758"/>
      <c r="N476" s="1758"/>
      <c r="O476" s="1758"/>
      <c r="P476" s="1758"/>
    </row>
    <row r="477" spans="1:16">
      <c r="A477" s="1754"/>
      <c r="B477" s="1754"/>
      <c r="C477" s="1759"/>
      <c r="D477" s="1760"/>
      <c r="E477" s="1760"/>
      <c r="F477" s="1760"/>
      <c r="G477" s="1760"/>
      <c r="H477" s="1760"/>
      <c r="I477" s="1760"/>
      <c r="J477" s="1760"/>
      <c r="K477" s="1760"/>
      <c r="L477" s="1760"/>
      <c r="M477" s="1760"/>
      <c r="N477" s="1760"/>
      <c r="O477" s="1760"/>
      <c r="P477" s="1760"/>
    </row>
    <row r="478" spans="1:16" ht="63">
      <c r="A478" s="1754"/>
      <c r="B478" s="1754"/>
      <c r="C478" s="1098" t="s">
        <v>194</v>
      </c>
      <c r="D478" s="1098" t="s">
        <v>1466</v>
      </c>
      <c r="E478" s="1098" t="s">
        <v>608</v>
      </c>
      <c r="F478" s="1098" t="s">
        <v>610</v>
      </c>
      <c r="G478" s="1098" t="s">
        <v>609</v>
      </c>
      <c r="H478" s="1098" t="s">
        <v>195</v>
      </c>
      <c r="I478" s="1098" t="s">
        <v>196</v>
      </c>
      <c r="J478" s="1098" t="s">
        <v>1445</v>
      </c>
      <c r="K478" s="1098" t="s">
        <v>612</v>
      </c>
      <c r="L478" s="1098" t="s">
        <v>611</v>
      </c>
      <c r="M478" s="1098" t="s">
        <v>1505</v>
      </c>
      <c r="N478" s="1098" t="s">
        <v>613</v>
      </c>
      <c r="O478" s="1098" t="s">
        <v>506</v>
      </c>
      <c r="P478" s="1098" t="s">
        <v>1446</v>
      </c>
    </row>
    <row r="479" spans="1:16">
      <c r="A479" s="1099"/>
      <c r="B479" s="1099"/>
      <c r="C479" s="1099"/>
      <c r="D479" s="1099"/>
      <c r="E479" s="1099"/>
      <c r="F479" s="1099"/>
      <c r="G479" s="1099"/>
      <c r="H479" s="1099"/>
      <c r="I479" s="1099"/>
      <c r="J479" s="1100"/>
      <c r="K479" s="1100"/>
      <c r="L479" s="1100"/>
      <c r="M479" s="1100"/>
      <c r="N479" s="1100"/>
      <c r="O479" s="1100"/>
      <c r="P479" s="1100"/>
    </row>
    <row r="480" spans="1:16">
      <c r="A480" s="1101" t="s">
        <v>32</v>
      </c>
      <c r="B480" s="1102" t="s">
        <v>1229</v>
      </c>
      <c r="C480" s="1099"/>
      <c r="D480" s="1099"/>
      <c r="E480" s="1099"/>
      <c r="F480" s="1099"/>
      <c r="G480" s="1099"/>
      <c r="H480" s="1099"/>
      <c r="I480" s="1099"/>
      <c r="J480" s="1100"/>
      <c r="K480" s="1100"/>
      <c r="L480" s="1100"/>
      <c r="M480" s="1100"/>
      <c r="N480" s="1100"/>
      <c r="O480" s="1100"/>
      <c r="P480" s="1100"/>
    </row>
    <row r="481" spans="1:16" hidden="1">
      <c r="A481" s="1101" t="s">
        <v>15</v>
      </c>
      <c r="B481" s="1103" t="s">
        <v>1288</v>
      </c>
      <c r="C481" s="1099"/>
      <c r="D481" s="1099"/>
      <c r="E481" s="1099"/>
      <c r="F481" s="1099"/>
      <c r="G481" s="1099"/>
      <c r="H481" s="1099"/>
      <c r="I481" s="1099"/>
      <c r="J481" s="1100"/>
      <c r="K481" s="1100"/>
      <c r="L481" s="1100"/>
      <c r="M481" s="1100"/>
      <c r="N481" s="1100"/>
      <c r="O481" s="1100"/>
      <c r="P481" s="1100"/>
    </row>
    <row r="482" spans="1:16" hidden="1">
      <c r="A482" s="1101"/>
      <c r="B482" s="1103"/>
      <c r="C482" s="1099"/>
      <c r="D482" s="1099"/>
      <c r="E482" s="1099"/>
      <c r="F482" s="1099"/>
      <c r="G482" s="1099"/>
      <c r="H482" s="1099"/>
      <c r="I482" s="1099"/>
      <c r="J482" s="1100"/>
      <c r="K482" s="1100"/>
      <c r="L482" s="1100"/>
      <c r="M482" s="1100"/>
      <c r="N482" s="1100"/>
      <c r="O482" s="1100"/>
      <c r="P482" s="1100"/>
    </row>
    <row r="483" spans="1:16" hidden="1">
      <c r="A483" s="1101" t="s">
        <v>16</v>
      </c>
      <c r="B483" s="1103" t="s">
        <v>1289</v>
      </c>
      <c r="C483" s="1099"/>
      <c r="D483" s="1099"/>
      <c r="E483" s="1099"/>
      <c r="F483" s="1099"/>
      <c r="G483" s="1099"/>
      <c r="H483" s="1099"/>
      <c r="I483" s="1099"/>
      <c r="J483" s="1100"/>
      <c r="K483" s="1100"/>
      <c r="L483" s="1100"/>
      <c r="M483" s="1100"/>
      <c r="N483" s="1100"/>
      <c r="O483" s="1100"/>
      <c r="P483" s="1100"/>
    </row>
    <row r="484" spans="1:16" hidden="1">
      <c r="A484" s="1101">
        <v>1</v>
      </c>
      <c r="B484" s="1104" t="s">
        <v>1501</v>
      </c>
      <c r="C484" s="1099"/>
      <c r="D484" s="1099"/>
      <c r="E484" s="1099"/>
      <c r="F484" s="1099"/>
      <c r="G484" s="1099"/>
      <c r="H484" s="1099"/>
      <c r="I484" s="1099"/>
      <c r="J484" s="1100"/>
      <c r="K484" s="1100"/>
      <c r="L484" s="1100"/>
      <c r="M484" s="1100"/>
      <c r="N484" s="1100"/>
      <c r="O484" s="1100"/>
      <c r="P484" s="1100"/>
    </row>
    <row r="485" spans="1:16" hidden="1">
      <c r="A485" s="1101">
        <v>2</v>
      </c>
      <c r="B485" s="1105" t="s">
        <v>1502</v>
      </c>
      <c r="C485" s="1099"/>
      <c r="D485" s="1099"/>
      <c r="E485" s="1099"/>
      <c r="F485" s="1099"/>
      <c r="G485" s="1099"/>
      <c r="H485" s="1099"/>
      <c r="I485" s="1099"/>
      <c r="J485" s="1100"/>
      <c r="K485" s="1100"/>
      <c r="L485" s="1100"/>
      <c r="M485" s="1100"/>
      <c r="N485" s="1100"/>
      <c r="O485" s="1100"/>
      <c r="P485" s="1100"/>
    </row>
    <row r="486" spans="1:16" hidden="1">
      <c r="A486" s="1101">
        <v>3</v>
      </c>
      <c r="B486" s="1105" t="s">
        <v>1915</v>
      </c>
      <c r="C486" s="1099"/>
      <c r="D486" s="1099"/>
      <c r="E486" s="1099"/>
      <c r="F486" s="1099"/>
      <c r="G486" s="1099"/>
      <c r="H486" s="1099"/>
      <c r="I486" s="1099"/>
      <c r="J486" s="1100"/>
      <c r="K486" s="1100"/>
      <c r="L486" s="1100"/>
      <c r="M486" s="1100"/>
      <c r="N486" s="1100"/>
      <c r="O486" s="1100"/>
      <c r="P486" s="1100"/>
    </row>
    <row r="487" spans="1:16" hidden="1">
      <c r="A487" s="1101">
        <v>4</v>
      </c>
      <c r="B487" s="1105" t="s">
        <v>1916</v>
      </c>
      <c r="C487" s="1099"/>
      <c r="D487" s="1099"/>
      <c r="E487" s="1099"/>
      <c r="F487" s="1099"/>
      <c r="G487" s="1099"/>
      <c r="H487" s="1099"/>
      <c r="I487" s="1099"/>
      <c r="J487" s="1100"/>
      <c r="K487" s="1100"/>
      <c r="L487" s="1100"/>
      <c r="M487" s="1100"/>
      <c r="N487" s="1100"/>
      <c r="O487" s="1100"/>
      <c r="P487" s="1100"/>
    </row>
    <row r="488" spans="1:16" hidden="1">
      <c r="A488" s="1101">
        <v>5</v>
      </c>
      <c r="B488" s="1105" t="s">
        <v>1917</v>
      </c>
      <c r="C488" s="1099"/>
      <c r="D488" s="1099"/>
      <c r="E488" s="1099"/>
      <c r="F488" s="1099"/>
      <c r="G488" s="1099"/>
      <c r="H488" s="1099"/>
      <c r="I488" s="1099"/>
      <c r="J488" s="1100"/>
      <c r="K488" s="1100"/>
      <c r="L488" s="1100"/>
      <c r="M488" s="1100"/>
      <c r="N488" s="1100"/>
      <c r="O488" s="1100"/>
      <c r="P488" s="1100"/>
    </row>
    <row r="489" spans="1:16" hidden="1">
      <c r="A489" s="1101">
        <v>6</v>
      </c>
      <c r="B489" s="1105" t="s">
        <v>1918</v>
      </c>
      <c r="C489" s="1099"/>
      <c r="D489" s="1099"/>
      <c r="E489" s="1099"/>
      <c r="F489" s="1099"/>
      <c r="G489" s="1099"/>
      <c r="H489" s="1099"/>
      <c r="I489" s="1099"/>
      <c r="J489" s="1100"/>
      <c r="K489" s="1100"/>
      <c r="L489" s="1100"/>
      <c r="M489" s="1100"/>
      <c r="N489" s="1100"/>
      <c r="O489" s="1100"/>
      <c r="P489" s="1100"/>
    </row>
    <row r="490" spans="1:16" hidden="1">
      <c r="A490" s="1101">
        <v>7</v>
      </c>
      <c r="B490" s="1105" t="s">
        <v>1919</v>
      </c>
      <c r="C490" s="1099"/>
      <c r="D490" s="1099"/>
      <c r="E490" s="1099"/>
      <c r="F490" s="1099"/>
      <c r="G490" s="1099"/>
      <c r="H490" s="1099"/>
      <c r="I490" s="1099"/>
      <c r="J490" s="1100"/>
      <c r="K490" s="1100"/>
      <c r="L490" s="1100"/>
      <c r="M490" s="1100"/>
      <c r="N490" s="1100"/>
      <c r="O490" s="1100"/>
      <c r="P490" s="1100"/>
    </row>
    <row r="491" spans="1:16" hidden="1">
      <c r="A491" s="1101">
        <v>8</v>
      </c>
      <c r="B491" s="1105" t="s">
        <v>1920</v>
      </c>
      <c r="C491" s="1099"/>
      <c r="D491" s="1099"/>
      <c r="E491" s="1099"/>
      <c r="F491" s="1099"/>
      <c r="G491" s="1099"/>
      <c r="H491" s="1099"/>
      <c r="I491" s="1099"/>
      <c r="J491" s="1100"/>
      <c r="K491" s="1100"/>
      <c r="L491" s="1100"/>
      <c r="M491" s="1100"/>
      <c r="N491" s="1100"/>
      <c r="O491" s="1100"/>
      <c r="P491" s="1100"/>
    </row>
    <row r="492" spans="1:16" hidden="1">
      <c r="A492" s="1101">
        <v>9</v>
      </c>
      <c r="B492" s="1105" t="s">
        <v>1921</v>
      </c>
      <c r="C492" s="1099"/>
      <c r="D492" s="1099"/>
      <c r="E492" s="1099"/>
      <c r="F492" s="1099"/>
      <c r="G492" s="1099"/>
      <c r="H492" s="1099"/>
      <c r="I492" s="1099"/>
      <c r="J492" s="1100"/>
      <c r="K492" s="1100"/>
      <c r="L492" s="1100"/>
      <c r="M492" s="1100"/>
      <c r="N492" s="1100"/>
      <c r="O492" s="1100"/>
      <c r="P492" s="1100"/>
    </row>
    <row r="493" spans="1:16" hidden="1">
      <c r="A493" s="1101">
        <v>10</v>
      </c>
      <c r="B493" s="1105" t="s">
        <v>1922</v>
      </c>
      <c r="C493" s="1099"/>
      <c r="D493" s="1099"/>
      <c r="E493" s="1099"/>
      <c r="F493" s="1099"/>
      <c r="G493" s="1099"/>
      <c r="H493" s="1099"/>
      <c r="I493" s="1099"/>
      <c r="J493" s="1100"/>
      <c r="K493" s="1100"/>
      <c r="L493" s="1100"/>
      <c r="M493" s="1100"/>
      <c r="N493" s="1100"/>
      <c r="O493" s="1100"/>
      <c r="P493" s="1100"/>
    </row>
    <row r="494" spans="1:16" hidden="1">
      <c r="A494" s="1101">
        <v>11</v>
      </c>
      <c r="B494" s="1105" t="s">
        <v>1923</v>
      </c>
      <c r="C494" s="1099"/>
      <c r="D494" s="1099"/>
      <c r="E494" s="1099"/>
      <c r="F494" s="1099"/>
      <c r="G494" s="1099"/>
      <c r="H494" s="1099"/>
      <c r="I494" s="1099"/>
      <c r="J494" s="1100"/>
      <c r="K494" s="1100"/>
      <c r="L494" s="1100"/>
      <c r="M494" s="1100"/>
      <c r="N494" s="1100"/>
      <c r="O494" s="1100"/>
      <c r="P494" s="1100"/>
    </row>
    <row r="495" spans="1:16" hidden="1">
      <c r="A495" s="1101">
        <v>12</v>
      </c>
      <c r="B495" s="1105" t="s">
        <v>1924</v>
      </c>
      <c r="C495" s="1099"/>
      <c r="D495" s="1099"/>
      <c r="E495" s="1099"/>
      <c r="F495" s="1099"/>
      <c r="G495" s="1099"/>
      <c r="H495" s="1099"/>
      <c r="I495" s="1099"/>
      <c r="J495" s="1100"/>
      <c r="K495" s="1100"/>
      <c r="L495" s="1100"/>
      <c r="M495" s="1100"/>
      <c r="N495" s="1100"/>
      <c r="O495" s="1100"/>
      <c r="P495" s="1100"/>
    </row>
    <row r="496" spans="1:16" hidden="1">
      <c r="A496" s="1101">
        <v>13</v>
      </c>
      <c r="B496" s="1105" t="s">
        <v>1925</v>
      </c>
      <c r="C496" s="1099"/>
      <c r="D496" s="1099"/>
      <c r="E496" s="1099"/>
      <c r="F496" s="1099"/>
      <c r="G496" s="1099"/>
      <c r="H496" s="1099"/>
      <c r="I496" s="1099"/>
      <c r="J496" s="1100"/>
      <c r="K496" s="1100"/>
      <c r="L496" s="1100"/>
      <c r="M496" s="1100"/>
      <c r="N496" s="1100"/>
      <c r="O496" s="1100"/>
      <c r="P496" s="1100"/>
    </row>
    <row r="497" spans="1:16" hidden="1">
      <c r="A497" s="1101">
        <v>14</v>
      </c>
      <c r="B497" s="1105" t="s">
        <v>1926</v>
      </c>
      <c r="C497" s="1099"/>
      <c r="D497" s="1099"/>
      <c r="E497" s="1099"/>
      <c r="F497" s="1099"/>
      <c r="G497" s="1099"/>
      <c r="H497" s="1099"/>
      <c r="I497" s="1099"/>
      <c r="J497" s="1100"/>
      <c r="K497" s="1100"/>
      <c r="L497" s="1100"/>
      <c r="M497" s="1100"/>
      <c r="N497" s="1100"/>
      <c r="O497" s="1100"/>
      <c r="P497" s="1100"/>
    </row>
    <row r="498" spans="1:16" hidden="1">
      <c r="A498" s="1106"/>
      <c r="B498" s="1107" t="s">
        <v>153</v>
      </c>
      <c r="C498" s="1099"/>
      <c r="D498" s="1099"/>
      <c r="E498" s="1099"/>
      <c r="F498" s="1099"/>
      <c r="G498" s="1099"/>
      <c r="H498" s="1099"/>
      <c r="I498" s="1099"/>
      <c r="J498" s="1100"/>
      <c r="K498" s="1100"/>
      <c r="L498" s="1100"/>
      <c r="M498" s="1100"/>
      <c r="N498" s="1100"/>
      <c r="O498" s="1100"/>
      <c r="P498" s="1100"/>
    </row>
    <row r="499" spans="1:16" hidden="1">
      <c r="A499" s="1101"/>
      <c r="B499" s="1105"/>
      <c r="C499" s="1099"/>
      <c r="D499" s="1099"/>
      <c r="E499" s="1099"/>
      <c r="F499" s="1099"/>
      <c r="G499" s="1099"/>
      <c r="H499" s="1099"/>
      <c r="I499" s="1099"/>
      <c r="J499" s="1100"/>
      <c r="K499" s="1100"/>
      <c r="L499" s="1100"/>
      <c r="M499" s="1100"/>
      <c r="N499" s="1100"/>
      <c r="O499" s="1100"/>
      <c r="P499" s="1100"/>
    </row>
    <row r="500" spans="1:16" hidden="1">
      <c r="A500" s="1101" t="s">
        <v>17</v>
      </c>
      <c r="B500" s="1105" t="s">
        <v>1301</v>
      </c>
      <c r="C500" s="1099"/>
      <c r="D500" s="1099"/>
      <c r="E500" s="1099"/>
      <c r="F500" s="1099"/>
      <c r="G500" s="1099"/>
      <c r="H500" s="1099"/>
      <c r="I500" s="1099"/>
      <c r="J500" s="1100"/>
      <c r="K500" s="1100"/>
      <c r="L500" s="1100"/>
      <c r="M500" s="1100"/>
      <c r="N500" s="1100"/>
      <c r="O500" s="1100"/>
      <c r="P500" s="1100"/>
    </row>
    <row r="501" spans="1:16" hidden="1">
      <c r="A501" s="1101">
        <v>1</v>
      </c>
      <c r="B501" s="1105" t="s">
        <v>1301</v>
      </c>
      <c r="C501" s="1099"/>
      <c r="D501" s="1099"/>
      <c r="E501" s="1099"/>
      <c r="F501" s="1099"/>
      <c r="G501" s="1099"/>
      <c r="H501" s="1099"/>
      <c r="I501" s="1099"/>
      <c r="J501" s="1100"/>
      <c r="K501" s="1100"/>
      <c r="L501" s="1100"/>
      <c r="M501" s="1100"/>
      <c r="N501" s="1100"/>
      <c r="O501" s="1100"/>
      <c r="P501" s="1100"/>
    </row>
    <row r="502" spans="1:16" hidden="1">
      <c r="A502" s="1101">
        <v>2</v>
      </c>
      <c r="B502" s="1105" t="s">
        <v>1927</v>
      </c>
      <c r="C502" s="1099"/>
      <c r="D502" s="1099"/>
      <c r="E502" s="1099"/>
      <c r="F502" s="1099"/>
      <c r="G502" s="1099"/>
      <c r="H502" s="1099"/>
      <c r="I502" s="1099"/>
      <c r="J502" s="1100"/>
      <c r="K502" s="1100"/>
      <c r="L502" s="1100"/>
      <c r="M502" s="1100"/>
      <c r="N502" s="1100"/>
      <c r="O502" s="1100"/>
      <c r="P502" s="1100"/>
    </row>
    <row r="503" spans="1:16" hidden="1">
      <c r="A503" s="1101">
        <v>3</v>
      </c>
      <c r="B503" s="1105" t="s">
        <v>1928</v>
      </c>
      <c r="C503" s="1099"/>
      <c r="D503" s="1099"/>
      <c r="E503" s="1099"/>
      <c r="F503" s="1099"/>
      <c r="G503" s="1099"/>
      <c r="H503" s="1099"/>
      <c r="I503" s="1099"/>
      <c r="J503" s="1100"/>
      <c r="K503" s="1100"/>
      <c r="L503" s="1100"/>
      <c r="M503" s="1100"/>
      <c r="N503" s="1100"/>
      <c r="O503" s="1100"/>
      <c r="P503" s="1100"/>
    </row>
    <row r="504" spans="1:16" hidden="1">
      <c r="A504" s="1101">
        <v>4</v>
      </c>
      <c r="B504" s="1105" t="s">
        <v>1929</v>
      </c>
      <c r="C504" s="1099"/>
      <c r="D504" s="1099"/>
      <c r="E504" s="1099"/>
      <c r="F504" s="1099"/>
      <c r="G504" s="1099"/>
      <c r="H504" s="1099"/>
      <c r="I504" s="1099"/>
      <c r="J504" s="1100"/>
      <c r="K504" s="1100"/>
      <c r="L504" s="1100"/>
      <c r="M504" s="1100"/>
      <c r="N504" s="1100"/>
      <c r="O504" s="1100"/>
      <c r="P504" s="1100"/>
    </row>
    <row r="505" spans="1:16" hidden="1">
      <c r="A505" s="1101">
        <v>5</v>
      </c>
      <c r="B505" s="1105" t="s">
        <v>1930</v>
      </c>
      <c r="C505" s="1108"/>
      <c r="D505" s="1108"/>
      <c r="E505" s="1108"/>
      <c r="F505" s="1108"/>
      <c r="G505" s="1108"/>
      <c r="H505" s="1108"/>
      <c r="I505" s="1108"/>
      <c r="J505" s="1100"/>
      <c r="K505" s="1100"/>
      <c r="L505" s="1100"/>
      <c r="M505" s="1100"/>
      <c r="N505" s="1100"/>
      <c r="O505" s="1100"/>
      <c r="P505" s="1100"/>
    </row>
    <row r="506" spans="1:16" hidden="1">
      <c r="A506" s="1101">
        <v>6</v>
      </c>
      <c r="B506" s="1105" t="s">
        <v>1306</v>
      </c>
      <c r="C506" s="1099"/>
      <c r="D506" s="1099"/>
      <c r="E506" s="1099"/>
      <c r="F506" s="1099"/>
      <c r="G506" s="1099"/>
      <c r="H506" s="1099"/>
      <c r="I506" s="1099"/>
      <c r="J506" s="1100"/>
      <c r="K506" s="1100"/>
      <c r="L506" s="1100"/>
      <c r="M506" s="1100"/>
      <c r="N506" s="1100"/>
      <c r="O506" s="1100"/>
      <c r="P506" s="1100"/>
    </row>
    <row r="507" spans="1:16" hidden="1">
      <c r="A507" s="1101">
        <v>7</v>
      </c>
      <c r="B507" s="1105" t="s">
        <v>1931</v>
      </c>
      <c r="C507" s="1099"/>
      <c r="D507" s="1099"/>
      <c r="E507" s="1099"/>
      <c r="F507" s="1099"/>
      <c r="G507" s="1099"/>
      <c r="H507" s="1099"/>
      <c r="I507" s="1099"/>
      <c r="J507" s="1100"/>
      <c r="K507" s="1100"/>
      <c r="L507" s="1100"/>
      <c r="M507" s="1100"/>
      <c r="N507" s="1100"/>
      <c r="O507" s="1100"/>
      <c r="P507" s="1100"/>
    </row>
    <row r="508" spans="1:16" hidden="1">
      <c r="A508" s="1101">
        <v>8</v>
      </c>
      <c r="B508" s="1105" t="s">
        <v>1932</v>
      </c>
      <c r="C508" s="1099"/>
      <c r="D508" s="1099"/>
      <c r="E508" s="1099"/>
      <c r="F508" s="1099"/>
      <c r="G508" s="1099"/>
      <c r="H508" s="1099"/>
      <c r="I508" s="1099"/>
      <c r="J508" s="1100"/>
      <c r="K508" s="1100"/>
      <c r="L508" s="1100"/>
      <c r="M508" s="1100"/>
      <c r="N508" s="1100"/>
      <c r="O508" s="1100"/>
      <c r="P508" s="1100"/>
    </row>
    <row r="509" spans="1:16" hidden="1">
      <c r="A509" s="1101"/>
      <c r="B509" s="1109" t="s">
        <v>1933</v>
      </c>
      <c r="C509" s="1099"/>
      <c r="D509" s="1099"/>
      <c r="E509" s="1099"/>
      <c r="F509" s="1099"/>
      <c r="G509" s="1099"/>
      <c r="H509" s="1099"/>
      <c r="I509" s="1099"/>
      <c r="J509" s="1100"/>
      <c r="K509" s="1100"/>
      <c r="L509" s="1100"/>
      <c r="M509" s="1100"/>
      <c r="N509" s="1100"/>
      <c r="O509" s="1100"/>
      <c r="P509" s="1100"/>
    </row>
    <row r="510" spans="1:16" hidden="1">
      <c r="A510" s="1101"/>
      <c r="B510" s="1107" t="s">
        <v>153</v>
      </c>
      <c r="C510" s="1099"/>
      <c r="D510" s="1099"/>
      <c r="E510" s="1099"/>
      <c r="F510" s="1099"/>
      <c r="G510" s="1099"/>
      <c r="H510" s="1099"/>
      <c r="I510" s="1099"/>
      <c r="J510" s="1100"/>
      <c r="K510" s="1100"/>
      <c r="L510" s="1100"/>
      <c r="M510" s="1100"/>
      <c r="N510" s="1100"/>
      <c r="O510" s="1100"/>
      <c r="P510" s="1100"/>
    </row>
    <row r="511" spans="1:16" hidden="1">
      <c r="A511" s="1101"/>
      <c r="B511" s="1105"/>
      <c r="C511" s="1099"/>
      <c r="D511" s="1099"/>
      <c r="E511" s="1099"/>
      <c r="F511" s="1099"/>
      <c r="G511" s="1099"/>
      <c r="H511" s="1099"/>
      <c r="I511" s="1099"/>
      <c r="J511" s="1100"/>
      <c r="K511" s="1100"/>
      <c r="L511" s="1100"/>
      <c r="M511" s="1100"/>
      <c r="N511" s="1100"/>
      <c r="O511" s="1100"/>
      <c r="P511" s="1100"/>
    </row>
    <row r="512" spans="1:16" hidden="1">
      <c r="A512" s="1101"/>
      <c r="B512" s="1105"/>
      <c r="C512" s="1099"/>
      <c r="D512" s="1099"/>
      <c r="E512" s="1099"/>
      <c r="F512" s="1099"/>
      <c r="G512" s="1099"/>
      <c r="H512" s="1099"/>
      <c r="I512" s="1099"/>
      <c r="J512" s="1100"/>
      <c r="K512" s="1100"/>
      <c r="L512" s="1100"/>
      <c r="M512" s="1100"/>
      <c r="N512" s="1100"/>
      <c r="O512" s="1100"/>
      <c r="P512" s="1100"/>
    </row>
    <row r="513" spans="1:16" hidden="1">
      <c r="A513" s="1101" t="s">
        <v>20</v>
      </c>
      <c r="B513" s="1105" t="s">
        <v>1307</v>
      </c>
      <c r="C513" s="1099"/>
      <c r="D513" s="1099"/>
      <c r="E513" s="1099"/>
      <c r="F513" s="1099"/>
      <c r="G513" s="1099"/>
      <c r="H513" s="1099"/>
      <c r="I513" s="1099"/>
      <c r="J513" s="1100"/>
      <c r="K513" s="1100"/>
      <c r="L513" s="1100"/>
      <c r="M513" s="1100"/>
      <c r="N513" s="1100"/>
      <c r="O513" s="1100"/>
      <c r="P513" s="1100"/>
    </row>
    <row r="514" spans="1:16" hidden="1">
      <c r="A514" s="1101" t="s">
        <v>15</v>
      </c>
      <c r="B514" s="1105" t="s">
        <v>1308</v>
      </c>
      <c r="C514" s="1099"/>
      <c r="D514" s="1099"/>
      <c r="E514" s="1099"/>
      <c r="F514" s="1099"/>
      <c r="G514" s="1099"/>
      <c r="H514" s="1099"/>
      <c r="I514" s="1099"/>
      <c r="J514" s="1100"/>
      <c r="K514" s="1100"/>
      <c r="L514" s="1100"/>
      <c r="M514" s="1100"/>
      <c r="N514" s="1100"/>
      <c r="O514" s="1100"/>
      <c r="P514" s="1100"/>
    </row>
    <row r="515" spans="1:16" hidden="1">
      <c r="A515" s="1101">
        <v>1</v>
      </c>
      <c r="B515" s="1105" t="s">
        <v>1308</v>
      </c>
      <c r="C515" s="1099"/>
      <c r="D515" s="1099"/>
      <c r="E515" s="1099"/>
      <c r="F515" s="1099"/>
      <c r="G515" s="1099"/>
      <c r="H515" s="1099"/>
      <c r="I515" s="1099"/>
      <c r="J515" s="1100"/>
      <c r="K515" s="1100"/>
      <c r="L515" s="1100"/>
      <c r="M515" s="1100"/>
      <c r="N515" s="1100"/>
      <c r="O515" s="1100"/>
      <c r="P515" s="1100"/>
    </row>
    <row r="516" spans="1:16" hidden="1">
      <c r="A516" s="1101">
        <v>2</v>
      </c>
      <c r="B516" s="1105" t="s">
        <v>1934</v>
      </c>
      <c r="C516" s="1099"/>
      <c r="D516" s="1099"/>
      <c r="E516" s="1099"/>
      <c r="F516" s="1099"/>
      <c r="G516" s="1099"/>
      <c r="H516" s="1099"/>
      <c r="I516" s="1099"/>
      <c r="J516" s="1100"/>
      <c r="K516" s="1100"/>
      <c r="L516" s="1100"/>
      <c r="M516" s="1100"/>
      <c r="N516" s="1100"/>
      <c r="O516" s="1100"/>
      <c r="P516" s="1100"/>
    </row>
    <row r="517" spans="1:16" hidden="1">
      <c r="A517" s="1101">
        <v>3</v>
      </c>
      <c r="B517" s="1105" t="s">
        <v>1935</v>
      </c>
      <c r="C517" s="1099"/>
      <c r="D517" s="1099"/>
      <c r="E517" s="1099"/>
      <c r="F517" s="1099"/>
      <c r="G517" s="1099"/>
      <c r="H517" s="1099"/>
      <c r="I517" s="1099"/>
      <c r="J517" s="1100"/>
      <c r="K517" s="1100"/>
      <c r="L517" s="1100"/>
      <c r="M517" s="1100"/>
      <c r="N517" s="1100"/>
      <c r="O517" s="1100"/>
      <c r="P517" s="1100"/>
    </row>
    <row r="518" spans="1:16" hidden="1">
      <c r="A518" s="1101">
        <v>4</v>
      </c>
      <c r="B518" s="1105" t="s">
        <v>1936</v>
      </c>
      <c r="C518" s="1099"/>
      <c r="D518" s="1099"/>
      <c r="E518" s="1099"/>
      <c r="F518" s="1099"/>
      <c r="G518" s="1099"/>
      <c r="H518" s="1099"/>
      <c r="I518" s="1099"/>
      <c r="J518" s="1100"/>
      <c r="K518" s="1100"/>
      <c r="L518" s="1100"/>
      <c r="M518" s="1100"/>
      <c r="N518" s="1100"/>
      <c r="O518" s="1100"/>
      <c r="P518" s="1100"/>
    </row>
    <row r="519" spans="1:16" hidden="1">
      <c r="A519" s="1101">
        <v>5</v>
      </c>
      <c r="B519" s="1105" t="s">
        <v>1937</v>
      </c>
      <c r="C519" s="1099"/>
      <c r="D519" s="1099"/>
      <c r="E519" s="1099"/>
      <c r="F519" s="1099"/>
      <c r="G519" s="1099"/>
      <c r="H519" s="1099"/>
      <c r="I519" s="1099"/>
      <c r="J519" s="1100"/>
      <c r="K519" s="1100"/>
      <c r="L519" s="1100"/>
      <c r="M519" s="1100"/>
      <c r="N519" s="1100"/>
      <c r="O519" s="1100"/>
      <c r="P519" s="1100"/>
    </row>
    <row r="520" spans="1:16" hidden="1">
      <c r="A520" s="1101">
        <v>6</v>
      </c>
      <c r="B520" s="1105" t="s">
        <v>1938</v>
      </c>
      <c r="C520" s="1099"/>
      <c r="D520" s="1099"/>
      <c r="E520" s="1099"/>
      <c r="F520" s="1099"/>
      <c r="G520" s="1099"/>
      <c r="H520" s="1099"/>
      <c r="I520" s="1099"/>
      <c r="J520" s="1100"/>
      <c r="K520" s="1100"/>
      <c r="L520" s="1100"/>
      <c r="M520" s="1100"/>
      <c r="N520" s="1100"/>
      <c r="O520" s="1100"/>
      <c r="P520" s="1100"/>
    </row>
    <row r="521" spans="1:16" hidden="1">
      <c r="A521" s="1101">
        <v>7</v>
      </c>
      <c r="B521" s="1105" t="s">
        <v>1939</v>
      </c>
      <c r="C521" s="1099"/>
      <c r="D521" s="1099"/>
      <c r="E521" s="1099"/>
      <c r="F521" s="1099"/>
      <c r="G521" s="1099"/>
      <c r="H521" s="1099"/>
      <c r="I521" s="1099"/>
      <c r="J521" s="1100"/>
      <c r="K521" s="1100"/>
      <c r="L521" s="1100"/>
      <c r="M521" s="1100"/>
      <c r="N521" s="1100"/>
      <c r="O521" s="1100"/>
      <c r="P521" s="1100"/>
    </row>
    <row r="522" spans="1:16" hidden="1">
      <c r="A522" s="1101">
        <v>8</v>
      </c>
      <c r="B522" s="1105" t="s">
        <v>1940</v>
      </c>
      <c r="C522" s="1099"/>
      <c r="D522" s="1099"/>
      <c r="E522" s="1099"/>
      <c r="F522" s="1099"/>
      <c r="G522" s="1099"/>
      <c r="H522" s="1099"/>
      <c r="I522" s="1099"/>
      <c r="J522" s="1100"/>
      <c r="K522" s="1100"/>
      <c r="L522" s="1100"/>
      <c r="M522" s="1100"/>
      <c r="N522" s="1100"/>
      <c r="O522" s="1100"/>
      <c r="P522" s="1100"/>
    </row>
    <row r="523" spans="1:16" hidden="1">
      <c r="A523" s="1101">
        <v>9</v>
      </c>
      <c r="B523" s="1105" t="s">
        <v>1941</v>
      </c>
      <c r="C523" s="1099"/>
      <c r="D523" s="1099"/>
      <c r="E523" s="1099"/>
      <c r="F523" s="1099"/>
      <c r="G523" s="1099"/>
      <c r="H523" s="1099"/>
      <c r="I523" s="1099"/>
      <c r="J523" s="1100"/>
      <c r="K523" s="1100"/>
      <c r="L523" s="1100"/>
      <c r="M523" s="1100"/>
      <c r="N523" s="1100"/>
      <c r="O523" s="1100"/>
      <c r="P523" s="1100"/>
    </row>
    <row r="524" spans="1:16" hidden="1">
      <c r="A524" s="1101">
        <v>10</v>
      </c>
      <c r="B524" s="1105" t="s">
        <v>1942</v>
      </c>
      <c r="C524" s="1099"/>
      <c r="D524" s="1099"/>
      <c r="E524" s="1099"/>
      <c r="F524" s="1099"/>
      <c r="G524" s="1099"/>
      <c r="H524" s="1099"/>
      <c r="I524" s="1099"/>
      <c r="J524" s="1100"/>
      <c r="K524" s="1100"/>
      <c r="L524" s="1100"/>
      <c r="M524" s="1100"/>
      <c r="N524" s="1100"/>
      <c r="O524" s="1100"/>
      <c r="P524" s="1100"/>
    </row>
    <row r="525" spans="1:16" hidden="1">
      <c r="A525" s="1101">
        <v>11</v>
      </c>
      <c r="B525" s="1105" t="s">
        <v>1943</v>
      </c>
      <c r="C525" s="1099"/>
      <c r="D525" s="1099"/>
      <c r="E525" s="1099"/>
      <c r="F525" s="1099"/>
      <c r="G525" s="1099"/>
      <c r="H525" s="1099"/>
      <c r="I525" s="1099"/>
      <c r="J525" s="1100"/>
      <c r="K525" s="1100"/>
      <c r="L525" s="1100"/>
      <c r="M525" s="1100"/>
      <c r="N525" s="1100"/>
      <c r="O525" s="1100"/>
      <c r="P525" s="1100"/>
    </row>
    <row r="526" spans="1:16" hidden="1">
      <c r="A526" s="1101">
        <v>12</v>
      </c>
      <c r="B526" s="1105" t="s">
        <v>1944</v>
      </c>
      <c r="C526" s="1099"/>
      <c r="D526" s="1099"/>
      <c r="E526" s="1099"/>
      <c r="F526" s="1099"/>
      <c r="G526" s="1099"/>
      <c r="H526" s="1099"/>
      <c r="I526" s="1099"/>
      <c r="J526" s="1100"/>
      <c r="K526" s="1100"/>
      <c r="L526" s="1100"/>
      <c r="M526" s="1100"/>
      <c r="N526" s="1100"/>
      <c r="O526" s="1100"/>
      <c r="P526" s="1100"/>
    </row>
    <row r="527" spans="1:16" hidden="1">
      <c r="A527" s="1101">
        <v>13</v>
      </c>
      <c r="B527" s="1105" t="s">
        <v>1945</v>
      </c>
      <c r="C527" s="1099"/>
      <c r="D527" s="1099"/>
      <c r="E527" s="1099"/>
      <c r="F527" s="1099"/>
      <c r="G527" s="1099"/>
      <c r="H527" s="1099"/>
      <c r="I527" s="1099"/>
      <c r="J527" s="1100"/>
      <c r="K527" s="1100"/>
      <c r="L527" s="1100"/>
      <c r="M527" s="1100"/>
      <c r="N527" s="1100"/>
      <c r="O527" s="1100"/>
      <c r="P527" s="1100"/>
    </row>
    <row r="528" spans="1:16" hidden="1">
      <c r="A528" s="1101">
        <v>14</v>
      </c>
      <c r="B528" s="1105" t="s">
        <v>1946</v>
      </c>
      <c r="C528" s="1099"/>
      <c r="D528" s="1099"/>
      <c r="E528" s="1099"/>
      <c r="F528" s="1099"/>
      <c r="G528" s="1099"/>
      <c r="H528" s="1099"/>
      <c r="I528" s="1099"/>
      <c r="J528" s="1100"/>
      <c r="K528" s="1100"/>
      <c r="L528" s="1100"/>
      <c r="M528" s="1100"/>
      <c r="N528" s="1100"/>
      <c r="O528" s="1100"/>
      <c r="P528" s="1100"/>
    </row>
    <row r="529" spans="1:16" hidden="1">
      <c r="A529" s="1101">
        <v>15</v>
      </c>
      <c r="B529" s="1105" t="s">
        <v>1947</v>
      </c>
      <c r="C529" s="1099"/>
      <c r="D529" s="1099"/>
      <c r="E529" s="1099"/>
      <c r="F529" s="1099"/>
      <c r="G529" s="1099"/>
      <c r="H529" s="1099"/>
      <c r="I529" s="1099"/>
      <c r="J529" s="1100"/>
      <c r="K529" s="1100"/>
      <c r="L529" s="1100"/>
      <c r="M529" s="1100"/>
      <c r="N529" s="1100"/>
      <c r="O529" s="1100"/>
      <c r="P529" s="1100"/>
    </row>
    <row r="530" spans="1:16" hidden="1">
      <c r="A530" s="1101">
        <v>16</v>
      </c>
      <c r="B530" s="1105" t="s">
        <v>1948</v>
      </c>
      <c r="C530" s="1099"/>
      <c r="D530" s="1099"/>
      <c r="E530" s="1099"/>
      <c r="F530" s="1099"/>
      <c r="G530" s="1099"/>
      <c r="H530" s="1099"/>
      <c r="I530" s="1099"/>
      <c r="J530" s="1100"/>
      <c r="K530" s="1100"/>
      <c r="L530" s="1100"/>
      <c r="M530" s="1100"/>
      <c r="N530" s="1100"/>
      <c r="O530" s="1100"/>
      <c r="P530" s="1100"/>
    </row>
    <row r="531" spans="1:16" hidden="1">
      <c r="A531" s="1101">
        <v>17</v>
      </c>
      <c r="B531" s="1105" t="s">
        <v>1949</v>
      </c>
      <c r="C531" s="1099"/>
      <c r="D531" s="1099"/>
      <c r="E531" s="1099"/>
      <c r="F531" s="1099"/>
      <c r="G531" s="1099"/>
      <c r="H531" s="1099"/>
      <c r="I531" s="1099"/>
      <c r="J531" s="1100"/>
      <c r="K531" s="1100"/>
      <c r="L531" s="1100"/>
      <c r="M531" s="1100"/>
      <c r="N531" s="1100"/>
      <c r="O531" s="1100"/>
      <c r="P531" s="1100"/>
    </row>
    <row r="532" spans="1:16" hidden="1">
      <c r="A532" s="1101">
        <v>18</v>
      </c>
      <c r="B532" s="1105" t="s">
        <v>1950</v>
      </c>
      <c r="C532" s="1099"/>
      <c r="D532" s="1099"/>
      <c r="E532" s="1099"/>
      <c r="F532" s="1099"/>
      <c r="G532" s="1099"/>
      <c r="H532" s="1099"/>
      <c r="I532" s="1099"/>
      <c r="J532" s="1100"/>
      <c r="K532" s="1100"/>
      <c r="L532" s="1100"/>
      <c r="M532" s="1100"/>
      <c r="N532" s="1100"/>
      <c r="O532" s="1100"/>
      <c r="P532" s="1100"/>
    </row>
    <row r="533" spans="1:16" hidden="1">
      <c r="A533" s="1101">
        <v>19</v>
      </c>
      <c r="B533" s="1105" t="s">
        <v>1951</v>
      </c>
      <c r="C533" s="1099"/>
      <c r="D533" s="1099"/>
      <c r="E533" s="1099"/>
      <c r="F533" s="1099"/>
      <c r="G533" s="1099"/>
      <c r="H533" s="1099"/>
      <c r="I533" s="1099"/>
      <c r="J533" s="1100"/>
      <c r="K533" s="1100"/>
      <c r="L533" s="1100"/>
      <c r="M533" s="1100"/>
      <c r="N533" s="1100"/>
      <c r="O533" s="1100"/>
      <c r="P533" s="1100"/>
    </row>
    <row r="534" spans="1:16" hidden="1">
      <c r="A534" s="1101">
        <v>20</v>
      </c>
      <c r="B534" s="1105" t="s">
        <v>1952</v>
      </c>
      <c r="C534" s="1099"/>
      <c r="D534" s="1099"/>
      <c r="E534" s="1099"/>
      <c r="F534" s="1099"/>
      <c r="G534" s="1099"/>
      <c r="H534" s="1099"/>
      <c r="I534" s="1099"/>
      <c r="J534" s="1100"/>
      <c r="K534" s="1100"/>
      <c r="L534" s="1100"/>
      <c r="M534" s="1100"/>
      <c r="N534" s="1100"/>
      <c r="O534" s="1100"/>
      <c r="P534" s="1100"/>
    </row>
    <row r="535" spans="1:16" hidden="1">
      <c r="A535" s="1101">
        <v>21</v>
      </c>
      <c r="B535" s="1105" t="s">
        <v>1953</v>
      </c>
      <c r="C535" s="1099"/>
      <c r="D535" s="1099"/>
      <c r="E535" s="1099"/>
      <c r="F535" s="1099"/>
      <c r="G535" s="1099"/>
      <c r="H535" s="1099"/>
      <c r="I535" s="1099"/>
      <c r="J535" s="1100"/>
      <c r="K535" s="1100"/>
      <c r="L535" s="1100"/>
      <c r="M535" s="1100"/>
      <c r="N535" s="1100"/>
      <c r="O535" s="1100"/>
      <c r="P535" s="1100"/>
    </row>
    <row r="536" spans="1:16" hidden="1">
      <c r="A536" s="1101">
        <v>22</v>
      </c>
      <c r="B536" s="1105" t="s">
        <v>1954</v>
      </c>
      <c r="C536" s="1099"/>
      <c r="D536" s="1099"/>
      <c r="E536" s="1099"/>
      <c r="F536" s="1099"/>
      <c r="G536" s="1099"/>
      <c r="H536" s="1099"/>
      <c r="I536" s="1099"/>
      <c r="J536" s="1100"/>
      <c r="K536" s="1100"/>
      <c r="L536" s="1100"/>
      <c r="M536" s="1100"/>
      <c r="N536" s="1100"/>
      <c r="O536" s="1100"/>
      <c r="P536" s="1100"/>
    </row>
    <row r="537" spans="1:16" hidden="1">
      <c r="A537" s="1101">
        <v>23</v>
      </c>
      <c r="B537" s="1105" t="s">
        <v>1955</v>
      </c>
      <c r="C537" s="1099"/>
      <c r="D537" s="1099"/>
      <c r="E537" s="1099"/>
      <c r="F537" s="1099"/>
      <c r="G537" s="1099"/>
      <c r="H537" s="1099"/>
      <c r="I537" s="1099"/>
      <c r="J537" s="1100"/>
      <c r="K537" s="1100"/>
      <c r="L537" s="1100"/>
      <c r="M537" s="1100"/>
      <c r="N537" s="1100"/>
      <c r="O537" s="1100"/>
      <c r="P537" s="1100"/>
    </row>
    <row r="538" spans="1:16" hidden="1">
      <c r="A538" s="1101">
        <v>24</v>
      </c>
      <c r="B538" s="1105" t="s">
        <v>1956</v>
      </c>
      <c r="C538" s="1099"/>
      <c r="D538" s="1099"/>
      <c r="E538" s="1099"/>
      <c r="F538" s="1099"/>
      <c r="G538" s="1099"/>
      <c r="H538" s="1099"/>
      <c r="I538" s="1099"/>
      <c r="J538" s="1100"/>
      <c r="K538" s="1100"/>
      <c r="L538" s="1100"/>
      <c r="M538" s="1100"/>
      <c r="N538" s="1100"/>
      <c r="O538" s="1100"/>
      <c r="P538" s="1100"/>
    </row>
    <row r="539" spans="1:16" hidden="1">
      <c r="A539" s="1101">
        <v>25</v>
      </c>
      <c r="B539" s="1105" t="s">
        <v>1957</v>
      </c>
      <c r="C539" s="1099"/>
      <c r="D539" s="1099"/>
      <c r="E539" s="1099"/>
      <c r="F539" s="1099"/>
      <c r="G539" s="1099"/>
      <c r="H539" s="1099"/>
      <c r="I539" s="1099"/>
      <c r="J539" s="1100"/>
      <c r="K539" s="1100"/>
      <c r="L539" s="1100"/>
      <c r="M539" s="1100"/>
      <c r="N539" s="1100"/>
      <c r="O539" s="1100"/>
      <c r="P539" s="1100"/>
    </row>
    <row r="540" spans="1:16" hidden="1">
      <c r="A540" s="1101">
        <v>26</v>
      </c>
      <c r="B540" s="1105" t="s">
        <v>1958</v>
      </c>
      <c r="C540" s="1099"/>
      <c r="D540" s="1099"/>
      <c r="E540" s="1099"/>
      <c r="F540" s="1099"/>
      <c r="G540" s="1099"/>
      <c r="H540" s="1099"/>
      <c r="I540" s="1099"/>
      <c r="J540" s="1100"/>
      <c r="K540" s="1100"/>
      <c r="L540" s="1100"/>
      <c r="M540" s="1100"/>
      <c r="N540" s="1100"/>
      <c r="O540" s="1100"/>
      <c r="P540" s="1100"/>
    </row>
    <row r="541" spans="1:16" hidden="1">
      <c r="A541" s="1101">
        <v>27</v>
      </c>
      <c r="B541" s="1105" t="s">
        <v>1959</v>
      </c>
      <c r="C541" s="1099"/>
      <c r="D541" s="1099"/>
      <c r="E541" s="1099"/>
      <c r="F541" s="1099"/>
      <c r="G541" s="1099"/>
      <c r="H541" s="1099"/>
      <c r="I541" s="1099"/>
      <c r="J541" s="1100"/>
      <c r="K541" s="1100"/>
      <c r="L541" s="1100"/>
      <c r="M541" s="1100"/>
      <c r="N541" s="1100"/>
      <c r="O541" s="1100"/>
      <c r="P541" s="1100"/>
    </row>
    <row r="542" spans="1:16" hidden="1">
      <c r="A542" s="1101">
        <v>28</v>
      </c>
      <c r="B542" s="1105" t="s">
        <v>1960</v>
      </c>
      <c r="C542" s="1099"/>
      <c r="D542" s="1099"/>
      <c r="E542" s="1099"/>
      <c r="F542" s="1099"/>
      <c r="G542" s="1099"/>
      <c r="H542" s="1099"/>
      <c r="I542" s="1099"/>
      <c r="J542" s="1100"/>
      <c r="K542" s="1100"/>
      <c r="L542" s="1100"/>
      <c r="M542" s="1100"/>
      <c r="N542" s="1100"/>
      <c r="O542" s="1100"/>
      <c r="P542" s="1100"/>
    </row>
    <row r="543" spans="1:16" hidden="1">
      <c r="A543" s="1101">
        <v>29</v>
      </c>
      <c r="B543" s="1105" t="s">
        <v>1961</v>
      </c>
      <c r="C543" s="1099"/>
      <c r="D543" s="1099"/>
      <c r="E543" s="1099"/>
      <c r="F543" s="1099"/>
      <c r="G543" s="1099"/>
      <c r="H543" s="1099"/>
      <c r="I543" s="1099"/>
      <c r="J543" s="1100"/>
      <c r="K543" s="1100"/>
      <c r="L543" s="1100"/>
      <c r="M543" s="1100"/>
      <c r="N543" s="1100"/>
      <c r="O543" s="1100"/>
      <c r="P543" s="1100"/>
    </row>
    <row r="544" spans="1:16" hidden="1">
      <c r="A544" s="1101">
        <v>30</v>
      </c>
      <c r="B544" s="1105" t="s">
        <v>1962</v>
      </c>
      <c r="C544" s="1099"/>
      <c r="D544" s="1099"/>
      <c r="E544" s="1099"/>
      <c r="F544" s="1099"/>
      <c r="G544" s="1099"/>
      <c r="H544" s="1099"/>
      <c r="I544" s="1099"/>
      <c r="J544" s="1100"/>
      <c r="K544" s="1100"/>
      <c r="L544" s="1100"/>
      <c r="M544" s="1100"/>
      <c r="N544" s="1100"/>
      <c r="O544" s="1100"/>
      <c r="P544" s="1100"/>
    </row>
    <row r="545" spans="1:16" hidden="1">
      <c r="A545" s="1101">
        <v>31</v>
      </c>
      <c r="B545" s="1105" t="s">
        <v>1963</v>
      </c>
      <c r="C545" s="1099"/>
      <c r="D545" s="1099"/>
      <c r="E545" s="1099"/>
      <c r="F545" s="1099"/>
      <c r="G545" s="1099"/>
      <c r="H545" s="1099"/>
      <c r="I545" s="1099"/>
      <c r="J545" s="1100"/>
      <c r="K545" s="1100"/>
      <c r="L545" s="1100"/>
      <c r="M545" s="1100"/>
      <c r="N545" s="1100"/>
      <c r="O545" s="1100"/>
      <c r="P545" s="1100"/>
    </row>
    <row r="546" spans="1:16" hidden="1">
      <c r="A546" s="1101">
        <v>32</v>
      </c>
      <c r="B546" s="1105" t="s">
        <v>1964</v>
      </c>
      <c r="C546" s="1099"/>
      <c r="D546" s="1099"/>
      <c r="E546" s="1099"/>
      <c r="F546" s="1099"/>
      <c r="G546" s="1099"/>
      <c r="H546" s="1099"/>
      <c r="I546" s="1099"/>
      <c r="J546" s="1100"/>
      <c r="K546" s="1100"/>
      <c r="L546" s="1100"/>
      <c r="M546" s="1100"/>
      <c r="N546" s="1100"/>
      <c r="O546" s="1100"/>
      <c r="P546" s="1100"/>
    </row>
    <row r="547" spans="1:16" hidden="1">
      <c r="A547" s="1101">
        <v>33</v>
      </c>
      <c r="B547" s="1105" t="s">
        <v>1965</v>
      </c>
      <c r="C547" s="1099"/>
      <c r="D547" s="1099"/>
      <c r="E547" s="1099"/>
      <c r="F547" s="1099"/>
      <c r="G547" s="1099"/>
      <c r="H547" s="1099"/>
      <c r="I547" s="1099"/>
      <c r="J547" s="1100"/>
      <c r="K547" s="1100"/>
      <c r="L547" s="1100"/>
      <c r="M547" s="1100"/>
      <c r="N547" s="1100"/>
      <c r="O547" s="1100"/>
      <c r="P547" s="1100"/>
    </row>
    <row r="548" spans="1:16" hidden="1">
      <c r="A548" s="1101">
        <v>34</v>
      </c>
      <c r="B548" s="1105" t="s">
        <v>1966</v>
      </c>
      <c r="C548" s="1099"/>
      <c r="D548" s="1099"/>
      <c r="E548" s="1099"/>
      <c r="F548" s="1099"/>
      <c r="G548" s="1099"/>
      <c r="H548" s="1099"/>
      <c r="I548" s="1099"/>
      <c r="J548" s="1100"/>
      <c r="K548" s="1100"/>
      <c r="L548" s="1100"/>
      <c r="M548" s="1100"/>
      <c r="N548" s="1100"/>
      <c r="O548" s="1100"/>
      <c r="P548" s="1100"/>
    </row>
    <row r="549" spans="1:16" hidden="1">
      <c r="A549" s="1101">
        <v>35</v>
      </c>
      <c r="B549" s="1110" t="s">
        <v>1967</v>
      </c>
      <c r="C549" s="1099"/>
      <c r="D549" s="1099"/>
      <c r="E549" s="1099"/>
      <c r="F549" s="1099"/>
      <c r="G549" s="1099"/>
      <c r="H549" s="1099"/>
      <c r="I549" s="1099"/>
      <c r="J549" s="1100"/>
      <c r="K549" s="1100"/>
      <c r="L549" s="1100"/>
      <c r="M549" s="1100"/>
      <c r="N549" s="1100"/>
      <c r="O549" s="1100"/>
      <c r="P549" s="1100"/>
    </row>
    <row r="550" spans="1:16" hidden="1">
      <c r="A550" s="1101">
        <v>36</v>
      </c>
      <c r="B550" s="1110" t="s">
        <v>1968</v>
      </c>
      <c r="C550" s="1099"/>
      <c r="D550" s="1099"/>
      <c r="E550" s="1099"/>
      <c r="F550" s="1099"/>
      <c r="G550" s="1099"/>
      <c r="H550" s="1099"/>
      <c r="I550" s="1099"/>
      <c r="J550" s="1100"/>
      <c r="K550" s="1100"/>
      <c r="L550" s="1100"/>
      <c r="M550" s="1100"/>
      <c r="N550" s="1100"/>
      <c r="O550" s="1100"/>
      <c r="P550" s="1100"/>
    </row>
    <row r="551" spans="1:16" hidden="1">
      <c r="A551" s="1101">
        <v>37</v>
      </c>
      <c r="B551" s="1110" t="s">
        <v>1969</v>
      </c>
      <c r="C551" s="1099"/>
      <c r="D551" s="1099"/>
      <c r="E551" s="1099"/>
      <c r="F551" s="1099"/>
      <c r="G551" s="1099"/>
      <c r="H551" s="1099"/>
      <c r="I551" s="1099"/>
      <c r="J551" s="1100"/>
      <c r="K551" s="1100"/>
      <c r="L551" s="1100"/>
      <c r="M551" s="1100"/>
      <c r="N551" s="1100"/>
      <c r="O551" s="1100"/>
      <c r="P551" s="1100"/>
    </row>
    <row r="552" spans="1:16" hidden="1">
      <c r="A552" s="1101"/>
      <c r="B552" s="1110"/>
      <c r="C552" s="1099"/>
      <c r="D552" s="1099"/>
      <c r="E552" s="1099"/>
      <c r="F552" s="1099"/>
      <c r="G552" s="1099"/>
      <c r="H552" s="1099"/>
      <c r="I552" s="1099"/>
      <c r="J552" s="1100"/>
      <c r="K552" s="1100"/>
      <c r="L552" s="1100"/>
      <c r="M552" s="1100"/>
      <c r="N552" s="1100"/>
      <c r="O552" s="1100"/>
      <c r="P552" s="1100"/>
    </row>
    <row r="553" spans="1:16" hidden="1">
      <c r="A553" s="1101"/>
      <c r="B553" s="1105" t="s">
        <v>153</v>
      </c>
      <c r="C553" s="1099"/>
      <c r="D553" s="1099"/>
      <c r="E553" s="1099"/>
      <c r="F553" s="1099"/>
      <c r="G553" s="1099"/>
      <c r="H553" s="1099"/>
      <c r="I553" s="1099"/>
      <c r="J553" s="1100"/>
      <c r="K553" s="1100"/>
      <c r="L553" s="1100"/>
      <c r="M553" s="1100"/>
      <c r="N553" s="1100"/>
      <c r="O553" s="1100"/>
      <c r="P553" s="1100"/>
    </row>
    <row r="554" spans="1:16" hidden="1">
      <c r="A554" s="1101"/>
      <c r="B554" s="1105"/>
      <c r="C554" s="1099"/>
      <c r="D554" s="1099"/>
      <c r="E554" s="1099"/>
      <c r="F554" s="1099"/>
      <c r="G554" s="1099"/>
      <c r="H554" s="1099"/>
      <c r="I554" s="1099"/>
      <c r="J554" s="1100"/>
      <c r="K554" s="1100"/>
      <c r="L554" s="1100"/>
      <c r="M554" s="1100"/>
      <c r="N554" s="1100"/>
      <c r="O554" s="1100"/>
      <c r="P554" s="1100"/>
    </row>
    <row r="555" spans="1:16" hidden="1">
      <c r="A555" s="1101" t="s">
        <v>22</v>
      </c>
      <c r="B555" s="1105" t="s">
        <v>1322</v>
      </c>
      <c r="C555" s="1099"/>
      <c r="D555" s="1099"/>
      <c r="E555" s="1099"/>
      <c r="F555" s="1099"/>
      <c r="G555" s="1099"/>
      <c r="H555" s="1099"/>
      <c r="I555" s="1099"/>
      <c r="J555" s="1100"/>
      <c r="K555" s="1100"/>
      <c r="L555" s="1100"/>
      <c r="M555" s="1100"/>
      <c r="N555" s="1100"/>
      <c r="O555" s="1100"/>
      <c r="P555" s="1100"/>
    </row>
    <row r="556" spans="1:16" hidden="1">
      <c r="A556" s="1101">
        <v>1</v>
      </c>
      <c r="B556" s="1105" t="s">
        <v>1322</v>
      </c>
      <c r="C556" s="1099"/>
      <c r="D556" s="1099"/>
      <c r="E556" s="1099"/>
      <c r="F556" s="1099"/>
      <c r="G556" s="1099"/>
      <c r="H556" s="1099"/>
      <c r="I556" s="1099"/>
      <c r="J556" s="1100"/>
      <c r="K556" s="1100"/>
      <c r="L556" s="1100"/>
      <c r="M556" s="1100"/>
      <c r="N556" s="1100"/>
      <c r="O556" s="1100"/>
      <c r="P556" s="1100"/>
    </row>
    <row r="557" spans="1:16" hidden="1">
      <c r="A557" s="1101">
        <v>2</v>
      </c>
      <c r="B557" s="1105" t="s">
        <v>1970</v>
      </c>
      <c r="C557" s="1099"/>
      <c r="D557" s="1099"/>
      <c r="E557" s="1099"/>
      <c r="F557" s="1099"/>
      <c r="G557" s="1099"/>
      <c r="H557" s="1099"/>
      <c r="I557" s="1099"/>
      <c r="J557" s="1100"/>
      <c r="K557" s="1100"/>
      <c r="L557" s="1100"/>
      <c r="M557" s="1100"/>
      <c r="N557" s="1100"/>
      <c r="O557" s="1100"/>
      <c r="P557" s="1100"/>
    </row>
    <row r="558" spans="1:16" hidden="1">
      <c r="A558" s="1101">
        <v>3</v>
      </c>
      <c r="B558" s="1105" t="s">
        <v>1323</v>
      </c>
      <c r="C558" s="1099"/>
      <c r="D558" s="1099"/>
      <c r="E558" s="1099"/>
      <c r="F558" s="1099"/>
      <c r="G558" s="1099"/>
      <c r="H558" s="1099"/>
      <c r="I558" s="1099"/>
      <c r="J558" s="1100"/>
      <c r="K558" s="1100"/>
      <c r="L558" s="1100"/>
      <c r="M558" s="1100"/>
      <c r="N558" s="1100"/>
      <c r="O558" s="1100"/>
      <c r="P558" s="1100"/>
    </row>
    <row r="559" spans="1:16" hidden="1">
      <c r="A559" s="1101">
        <v>4</v>
      </c>
      <c r="B559" s="1105" t="s">
        <v>1971</v>
      </c>
      <c r="C559" s="1099"/>
      <c r="D559" s="1099"/>
      <c r="E559" s="1099"/>
      <c r="F559" s="1099"/>
      <c r="G559" s="1099"/>
      <c r="H559" s="1099"/>
      <c r="I559" s="1099"/>
      <c r="J559" s="1100"/>
      <c r="K559" s="1100"/>
      <c r="L559" s="1100"/>
      <c r="M559" s="1100"/>
      <c r="N559" s="1100"/>
      <c r="O559" s="1100"/>
      <c r="P559" s="1100"/>
    </row>
    <row r="560" spans="1:16" hidden="1">
      <c r="A560" s="1101">
        <v>5</v>
      </c>
      <c r="B560" s="1105" t="s">
        <v>1972</v>
      </c>
      <c r="C560" s="1099"/>
      <c r="D560" s="1099"/>
      <c r="E560" s="1099"/>
      <c r="F560" s="1099"/>
      <c r="G560" s="1099"/>
      <c r="H560" s="1099"/>
      <c r="I560" s="1099"/>
      <c r="J560" s="1100"/>
      <c r="K560" s="1100"/>
      <c r="L560" s="1100"/>
      <c r="M560" s="1100"/>
      <c r="N560" s="1100"/>
      <c r="O560" s="1100"/>
      <c r="P560" s="1100"/>
    </row>
    <row r="561" spans="1:16" hidden="1">
      <c r="A561" s="1101">
        <v>6</v>
      </c>
      <c r="B561" s="1105" t="s">
        <v>1973</v>
      </c>
      <c r="C561" s="1099"/>
      <c r="D561" s="1099"/>
      <c r="E561" s="1099"/>
      <c r="F561" s="1099"/>
      <c r="G561" s="1099"/>
      <c r="H561" s="1099"/>
      <c r="I561" s="1099"/>
      <c r="J561" s="1100"/>
      <c r="K561" s="1100"/>
      <c r="L561" s="1100"/>
      <c r="M561" s="1100"/>
      <c r="N561" s="1100"/>
      <c r="O561" s="1100"/>
      <c r="P561" s="1100"/>
    </row>
    <row r="562" spans="1:16" hidden="1">
      <c r="A562" s="1101"/>
      <c r="B562" s="1105" t="s">
        <v>153</v>
      </c>
      <c r="C562" s="1099"/>
      <c r="D562" s="1099"/>
      <c r="E562" s="1099"/>
      <c r="F562" s="1099"/>
      <c r="G562" s="1099"/>
      <c r="H562" s="1099"/>
      <c r="I562" s="1099"/>
      <c r="J562" s="1100"/>
      <c r="K562" s="1100"/>
      <c r="L562" s="1100"/>
      <c r="M562" s="1100"/>
      <c r="N562" s="1100"/>
      <c r="O562" s="1100"/>
      <c r="P562" s="1100"/>
    </row>
    <row r="563" spans="1:16" hidden="1">
      <c r="A563" s="1101"/>
      <c r="B563" s="1105"/>
      <c r="C563" s="1099"/>
      <c r="D563" s="1099"/>
      <c r="E563" s="1099"/>
      <c r="F563" s="1099"/>
      <c r="G563" s="1099"/>
      <c r="H563" s="1099"/>
      <c r="I563" s="1099"/>
      <c r="J563" s="1100"/>
      <c r="K563" s="1100"/>
      <c r="L563" s="1100"/>
      <c r="M563" s="1100"/>
      <c r="N563" s="1100"/>
      <c r="O563" s="1100"/>
      <c r="P563" s="1100"/>
    </row>
    <row r="564" spans="1:16" hidden="1">
      <c r="A564" s="1106" t="s">
        <v>23</v>
      </c>
      <c r="B564" s="1105" t="s">
        <v>1325</v>
      </c>
      <c r="C564" s="1099"/>
      <c r="D564" s="1099"/>
      <c r="E564" s="1099"/>
      <c r="F564" s="1099"/>
      <c r="G564" s="1099"/>
      <c r="H564" s="1099"/>
      <c r="I564" s="1099"/>
      <c r="J564" s="1100"/>
      <c r="K564" s="1100"/>
      <c r="L564" s="1100"/>
      <c r="M564" s="1100"/>
      <c r="N564" s="1100"/>
      <c r="O564" s="1100"/>
      <c r="P564" s="1100"/>
    </row>
    <row r="565" spans="1:16" hidden="1">
      <c r="A565" s="1101">
        <v>1</v>
      </c>
      <c r="B565" s="1105" t="s">
        <v>1325</v>
      </c>
      <c r="C565" s="1099"/>
      <c r="D565" s="1099"/>
      <c r="E565" s="1099"/>
      <c r="F565" s="1099"/>
      <c r="G565" s="1099"/>
      <c r="H565" s="1099"/>
      <c r="I565" s="1099"/>
      <c r="J565" s="1100"/>
      <c r="K565" s="1100"/>
      <c r="L565" s="1100"/>
      <c r="M565" s="1100"/>
      <c r="N565" s="1100"/>
      <c r="O565" s="1100"/>
      <c r="P565" s="1100"/>
    </row>
    <row r="566" spans="1:16" hidden="1">
      <c r="A566" s="1101">
        <v>2</v>
      </c>
      <c r="B566" s="1105" t="s">
        <v>1974</v>
      </c>
      <c r="C566" s="1099"/>
      <c r="D566" s="1099"/>
      <c r="E566" s="1099"/>
      <c r="F566" s="1099"/>
      <c r="G566" s="1099"/>
      <c r="H566" s="1099"/>
      <c r="I566" s="1099"/>
      <c r="J566" s="1100"/>
      <c r="K566" s="1100"/>
      <c r="L566" s="1100"/>
      <c r="M566" s="1100"/>
      <c r="N566" s="1100"/>
      <c r="O566" s="1100"/>
      <c r="P566" s="1100"/>
    </row>
    <row r="567" spans="1:16" hidden="1">
      <c r="A567" s="1101">
        <v>3</v>
      </c>
      <c r="B567" s="1105" t="s">
        <v>1975</v>
      </c>
      <c r="C567" s="1099"/>
      <c r="D567" s="1099"/>
      <c r="E567" s="1099"/>
      <c r="F567" s="1099"/>
      <c r="G567" s="1099"/>
      <c r="H567" s="1099"/>
      <c r="I567" s="1099"/>
      <c r="J567" s="1100"/>
      <c r="K567" s="1100"/>
      <c r="L567" s="1100"/>
      <c r="M567" s="1100"/>
      <c r="N567" s="1100"/>
      <c r="O567" s="1100"/>
      <c r="P567" s="1100"/>
    </row>
    <row r="568" spans="1:16" hidden="1">
      <c r="A568" s="1101">
        <v>4</v>
      </c>
      <c r="B568" s="1105" t="s">
        <v>1976</v>
      </c>
      <c r="C568" s="1099"/>
      <c r="D568" s="1099"/>
      <c r="E568" s="1099"/>
      <c r="F568" s="1099"/>
      <c r="G568" s="1099"/>
      <c r="H568" s="1099"/>
      <c r="I568" s="1099"/>
      <c r="J568" s="1111"/>
      <c r="K568" s="1111"/>
      <c r="L568" s="1111"/>
      <c r="M568" s="1111"/>
      <c r="N568" s="1111"/>
      <c r="O568" s="1111"/>
      <c r="P568" s="1111"/>
    </row>
    <row r="569" spans="1:16" hidden="1">
      <c r="A569" s="1101">
        <v>5</v>
      </c>
      <c r="B569" s="1105" t="s">
        <v>1977</v>
      </c>
      <c r="C569" s="1099"/>
      <c r="D569" s="1099"/>
      <c r="E569" s="1099"/>
      <c r="F569" s="1099"/>
      <c r="G569" s="1099"/>
      <c r="H569" s="1099"/>
      <c r="I569" s="1099"/>
      <c r="J569" s="1100"/>
      <c r="K569" s="1100"/>
      <c r="L569" s="1100"/>
      <c r="M569" s="1100"/>
      <c r="N569" s="1100"/>
      <c r="O569" s="1100"/>
      <c r="P569" s="1100"/>
    </row>
    <row r="570" spans="1:16" hidden="1">
      <c r="A570" s="1101">
        <v>6</v>
      </c>
      <c r="B570" s="1105" t="s">
        <v>1978</v>
      </c>
      <c r="C570" s="1100"/>
      <c r="D570" s="1100"/>
      <c r="E570" s="1100"/>
      <c r="F570" s="1100"/>
      <c r="G570" s="1100"/>
      <c r="H570" s="1100"/>
      <c r="I570" s="1100"/>
      <c r="J570" s="1100"/>
      <c r="K570" s="1100"/>
      <c r="L570" s="1100"/>
      <c r="M570" s="1100"/>
      <c r="N570" s="1100"/>
      <c r="O570" s="1100"/>
      <c r="P570" s="1100"/>
    </row>
    <row r="571" spans="1:16" hidden="1">
      <c r="A571" s="1101">
        <v>7</v>
      </c>
      <c r="B571" s="1105" t="s">
        <v>1979</v>
      </c>
      <c r="C571" s="1100"/>
      <c r="D571" s="1100"/>
      <c r="E571" s="1100"/>
      <c r="F571" s="1100"/>
      <c r="G571" s="1100"/>
      <c r="H571" s="1100"/>
      <c r="I571" s="1100"/>
      <c r="J571" s="1100"/>
      <c r="K571" s="1100"/>
      <c r="L571" s="1100"/>
      <c r="M571" s="1100"/>
      <c r="N571" s="1100"/>
      <c r="O571" s="1100"/>
      <c r="P571" s="1100"/>
    </row>
    <row r="572" spans="1:16" hidden="1">
      <c r="A572" s="1101">
        <v>8</v>
      </c>
      <c r="B572" s="1105" t="s">
        <v>1980</v>
      </c>
      <c r="C572" s="1100"/>
      <c r="D572" s="1100"/>
      <c r="E572" s="1100"/>
      <c r="F572" s="1100"/>
      <c r="G572" s="1100"/>
      <c r="H572" s="1100"/>
      <c r="I572" s="1100"/>
      <c r="J572" s="1100"/>
      <c r="K572" s="1100"/>
      <c r="L572" s="1100"/>
      <c r="M572" s="1100"/>
      <c r="N572" s="1100"/>
      <c r="O572" s="1100"/>
      <c r="P572" s="1100"/>
    </row>
    <row r="573" spans="1:16" hidden="1">
      <c r="A573" s="1101">
        <v>9</v>
      </c>
      <c r="B573" s="1105" t="s">
        <v>1981</v>
      </c>
      <c r="C573" s="1100"/>
      <c r="D573" s="1100"/>
      <c r="E573" s="1100"/>
      <c r="F573" s="1100"/>
      <c r="G573" s="1100"/>
      <c r="H573" s="1100"/>
      <c r="I573" s="1100"/>
      <c r="J573" s="1100"/>
      <c r="K573" s="1100"/>
      <c r="L573" s="1100"/>
      <c r="M573" s="1100"/>
      <c r="N573" s="1100"/>
      <c r="O573" s="1100"/>
      <c r="P573" s="1100"/>
    </row>
    <row r="574" spans="1:16" hidden="1">
      <c r="A574" s="1101">
        <v>10</v>
      </c>
      <c r="B574" s="1105" t="s">
        <v>1982</v>
      </c>
      <c r="C574" s="1100"/>
      <c r="D574" s="1100"/>
      <c r="E574" s="1100"/>
      <c r="F574" s="1100"/>
      <c r="G574" s="1100"/>
      <c r="H574" s="1100"/>
      <c r="I574" s="1100"/>
      <c r="J574" s="1100"/>
      <c r="K574" s="1100"/>
      <c r="L574" s="1100"/>
      <c r="M574" s="1100"/>
      <c r="N574" s="1100"/>
      <c r="O574" s="1100"/>
      <c r="P574" s="1100"/>
    </row>
    <row r="575" spans="1:16" hidden="1">
      <c r="A575" s="1101">
        <v>11</v>
      </c>
      <c r="B575" s="1105" t="s">
        <v>1983</v>
      </c>
      <c r="C575" s="1100"/>
      <c r="D575" s="1100"/>
      <c r="E575" s="1100"/>
      <c r="F575" s="1100"/>
      <c r="G575" s="1100"/>
      <c r="H575" s="1100"/>
      <c r="I575" s="1100"/>
      <c r="J575" s="1100"/>
      <c r="K575" s="1100"/>
      <c r="L575" s="1100"/>
      <c r="M575" s="1100"/>
      <c r="N575" s="1100"/>
      <c r="O575" s="1100"/>
      <c r="P575" s="1100"/>
    </row>
    <row r="576" spans="1:16" hidden="1">
      <c r="A576" s="1101">
        <v>12</v>
      </c>
      <c r="B576" s="1105" t="s">
        <v>1984</v>
      </c>
      <c r="C576" s="1100"/>
      <c r="D576" s="1100"/>
      <c r="E576" s="1100"/>
      <c r="F576" s="1100"/>
      <c r="G576" s="1100"/>
      <c r="H576" s="1100"/>
      <c r="I576" s="1100"/>
      <c r="J576" s="1100"/>
      <c r="K576" s="1100"/>
      <c r="L576" s="1100"/>
      <c r="M576" s="1100"/>
      <c r="N576" s="1100"/>
      <c r="O576" s="1100"/>
      <c r="P576" s="1100"/>
    </row>
    <row r="577" spans="1:147" hidden="1">
      <c r="A577" s="1101">
        <v>13</v>
      </c>
      <c r="B577" s="1105" t="s">
        <v>1985</v>
      </c>
      <c r="C577" s="1100"/>
      <c r="D577" s="1100"/>
      <c r="E577" s="1100"/>
      <c r="F577" s="1100"/>
      <c r="G577" s="1100"/>
      <c r="H577" s="1100"/>
      <c r="I577" s="1100"/>
      <c r="J577" s="1100"/>
      <c r="K577" s="1100"/>
      <c r="L577" s="1100"/>
      <c r="M577" s="1100"/>
      <c r="N577" s="1100"/>
      <c r="O577" s="1100"/>
      <c r="P577" s="1100"/>
    </row>
    <row r="578" spans="1:147" hidden="1">
      <c r="A578" s="1101"/>
      <c r="B578" s="1105" t="s">
        <v>153</v>
      </c>
      <c r="C578" s="1100"/>
      <c r="D578" s="1100"/>
      <c r="E578" s="1100"/>
      <c r="F578" s="1100"/>
      <c r="G578" s="1100"/>
      <c r="H578" s="1100"/>
      <c r="I578" s="1100"/>
      <c r="J578" s="1111"/>
      <c r="K578" s="1111"/>
      <c r="L578" s="1111"/>
      <c r="M578" s="1111"/>
      <c r="N578" s="1111"/>
      <c r="O578" s="1111"/>
      <c r="P578" s="1111"/>
    </row>
    <row r="579" spans="1:147" hidden="1">
      <c r="A579" s="1101"/>
      <c r="B579" s="1105"/>
      <c r="C579" s="1100"/>
      <c r="D579" s="1100"/>
      <c r="E579" s="1100"/>
      <c r="F579" s="1100"/>
      <c r="G579" s="1100"/>
      <c r="H579" s="1100"/>
      <c r="I579" s="1100"/>
      <c r="J579" s="1111"/>
      <c r="K579" s="1111"/>
      <c r="L579" s="1111"/>
      <c r="M579" s="1111"/>
      <c r="N579" s="1111"/>
      <c r="O579" s="1111"/>
      <c r="P579" s="1111"/>
    </row>
    <row r="580" spans="1:147" hidden="1">
      <c r="A580" s="1101" t="s">
        <v>24</v>
      </c>
      <c r="B580" s="1105" t="s">
        <v>1467</v>
      </c>
      <c r="C580" s="1100"/>
      <c r="D580" s="1100"/>
      <c r="E580" s="1100"/>
      <c r="F580" s="1100"/>
      <c r="G580" s="1100"/>
      <c r="H580" s="1100"/>
      <c r="I580" s="1100"/>
      <c r="J580" s="1111"/>
      <c r="K580" s="1111"/>
      <c r="L580" s="1111"/>
      <c r="M580" s="1111"/>
      <c r="N580" s="1111"/>
      <c r="O580" s="1111"/>
      <c r="P580" s="1111"/>
    </row>
    <row r="581" spans="1:147" hidden="1">
      <c r="A581" s="1101">
        <v>1</v>
      </c>
      <c r="B581" s="1105" t="s">
        <v>1467</v>
      </c>
      <c r="C581" s="1100"/>
      <c r="D581" s="1100"/>
      <c r="E581" s="1100"/>
      <c r="F581" s="1100"/>
      <c r="G581" s="1100"/>
      <c r="H581" s="1100"/>
      <c r="I581" s="1100"/>
      <c r="J581" s="1111"/>
      <c r="K581" s="1111"/>
      <c r="L581" s="1111"/>
      <c r="M581" s="1111"/>
      <c r="N581" s="1111"/>
      <c r="O581" s="1111"/>
      <c r="P581" s="1111"/>
    </row>
    <row r="582" spans="1:147" hidden="1">
      <c r="A582" s="1101">
        <v>2</v>
      </c>
      <c r="B582" s="1105" t="s">
        <v>1986</v>
      </c>
      <c r="C582" s="1100"/>
      <c r="D582" s="1100"/>
      <c r="E582" s="1100"/>
      <c r="F582" s="1100"/>
      <c r="G582" s="1100"/>
      <c r="H582" s="1100"/>
      <c r="I582" s="1100"/>
      <c r="J582" s="1111"/>
      <c r="K582" s="1111"/>
      <c r="L582" s="1111"/>
      <c r="M582" s="1111"/>
      <c r="N582" s="1111"/>
      <c r="O582" s="1111"/>
      <c r="P582" s="1111"/>
    </row>
    <row r="583" spans="1:147" hidden="1">
      <c r="A583" s="1101"/>
      <c r="B583" s="1105"/>
      <c r="C583" s="1100"/>
      <c r="D583" s="1100"/>
      <c r="E583" s="1100"/>
      <c r="F583" s="1100"/>
      <c r="G583" s="1100"/>
      <c r="H583" s="1100"/>
      <c r="I583" s="1100"/>
      <c r="J583" s="1111"/>
      <c r="K583" s="1111"/>
      <c r="L583" s="1111"/>
      <c r="M583" s="1111"/>
      <c r="N583" s="1111"/>
      <c r="O583" s="1111"/>
      <c r="P583" s="1111"/>
    </row>
    <row r="584" spans="1:147" hidden="1">
      <c r="A584" s="1101"/>
      <c r="B584" s="1105"/>
      <c r="C584" s="1100"/>
      <c r="D584" s="1100"/>
      <c r="E584" s="1100"/>
      <c r="F584" s="1100"/>
      <c r="G584" s="1100"/>
      <c r="H584" s="1100"/>
      <c r="I584" s="1100"/>
      <c r="J584" s="1111"/>
      <c r="K584" s="1111"/>
      <c r="L584" s="1111"/>
      <c r="M584" s="1111"/>
      <c r="N584" s="1111"/>
      <c r="O584" s="1111"/>
      <c r="P584" s="1111"/>
    </row>
    <row r="585" spans="1:147" hidden="1">
      <c r="A585" s="1101"/>
      <c r="B585" s="1105" t="s">
        <v>153</v>
      </c>
      <c r="C585" s="1100"/>
      <c r="D585" s="1100"/>
      <c r="E585" s="1100"/>
      <c r="F585" s="1100"/>
      <c r="G585" s="1100"/>
      <c r="H585" s="1100"/>
      <c r="I585" s="1100"/>
      <c r="J585" s="1111"/>
      <c r="K585" s="1111"/>
      <c r="L585" s="1111"/>
      <c r="M585" s="1111"/>
      <c r="N585" s="1111"/>
      <c r="O585" s="1111"/>
      <c r="P585" s="1111"/>
    </row>
    <row r="586" spans="1:147" hidden="1">
      <c r="A586" s="1101"/>
      <c r="B586" s="1105"/>
      <c r="C586" s="1100"/>
      <c r="D586" s="1100"/>
      <c r="E586" s="1100"/>
      <c r="F586" s="1100"/>
      <c r="G586" s="1100"/>
      <c r="H586" s="1100"/>
      <c r="I586" s="1100"/>
      <c r="J586" s="1100"/>
      <c r="K586" s="1100"/>
      <c r="L586" s="1100"/>
      <c r="M586" s="1100"/>
      <c r="N586" s="1100"/>
      <c r="O586" s="1100"/>
      <c r="P586" s="1100"/>
      <c r="Q586" s="1112"/>
      <c r="R586" s="1112"/>
      <c r="S586" s="1112"/>
      <c r="T586" s="1112"/>
      <c r="AJ586" s="1112"/>
      <c r="AK586" s="1112"/>
      <c r="AL586" s="1112"/>
      <c r="AM586" s="1112"/>
      <c r="AN586" s="1112"/>
      <c r="AO586" s="1112"/>
      <c r="AP586" s="1112"/>
      <c r="AQ586" s="1112"/>
      <c r="AR586" s="1112"/>
      <c r="AS586" s="1112"/>
      <c r="AT586" s="1112"/>
      <c r="AU586" s="1112"/>
      <c r="AV586" s="1112"/>
      <c r="AW586" s="1112"/>
      <c r="AX586" s="1112"/>
      <c r="AY586" s="1112"/>
      <c r="AZ586" s="1112"/>
      <c r="BA586" s="1112"/>
      <c r="BB586" s="1112"/>
      <c r="BC586" s="1112"/>
      <c r="BD586" s="1112"/>
      <c r="BE586" s="1112"/>
      <c r="BF586" s="1112"/>
      <c r="BG586" s="1112"/>
      <c r="BH586" s="1112"/>
      <c r="BI586" s="1112"/>
      <c r="BJ586" s="1112"/>
      <c r="BK586" s="1113"/>
      <c r="BL586" s="1113"/>
      <c r="BM586" s="1113"/>
      <c r="BN586" s="1113"/>
      <c r="BO586" s="1113"/>
      <c r="BP586" s="1113"/>
      <c r="BQ586" s="1113"/>
      <c r="BR586" s="1113"/>
      <c r="BS586" s="1113"/>
      <c r="BT586" s="1113"/>
      <c r="BU586" s="1113"/>
      <c r="BV586" s="1113"/>
      <c r="BW586" s="1113"/>
      <c r="BX586" s="1113"/>
      <c r="BY586" s="1113"/>
      <c r="BZ586" s="1113"/>
      <c r="CA586" s="1113"/>
      <c r="CB586" s="1113"/>
      <c r="CC586" s="1113"/>
      <c r="CD586" s="1113"/>
      <c r="CE586" s="1113"/>
      <c r="CF586" s="1113"/>
      <c r="CG586" s="1113"/>
      <c r="CH586" s="1113"/>
      <c r="CI586" s="1113"/>
      <c r="CJ586" s="1113"/>
      <c r="CK586" s="1113"/>
      <c r="CL586" s="1113"/>
      <c r="CM586" s="1113"/>
      <c r="CN586" s="1113"/>
      <c r="CO586" s="1113"/>
      <c r="CP586" s="1113"/>
      <c r="CQ586" s="1113"/>
      <c r="CR586" s="1113"/>
      <c r="CS586" s="1113"/>
      <c r="CT586" s="1113"/>
      <c r="CU586" s="1113"/>
      <c r="CV586" s="1113"/>
      <c r="CW586" s="1113"/>
      <c r="CX586" s="1113"/>
      <c r="CY586" s="1113"/>
      <c r="CZ586" s="1113"/>
      <c r="DA586" s="1113"/>
      <c r="DB586" s="1113"/>
      <c r="DC586" s="1113"/>
      <c r="DD586" s="1113"/>
      <c r="DE586" s="1113"/>
      <c r="DF586" s="1113"/>
      <c r="DG586" s="1113"/>
      <c r="DH586" s="1113"/>
      <c r="DI586" s="1113"/>
      <c r="DJ586" s="1113"/>
      <c r="DK586" s="1113"/>
      <c r="DL586" s="1113"/>
      <c r="DM586" s="1113"/>
      <c r="DN586" s="1113"/>
      <c r="DO586" s="1113"/>
      <c r="DP586" s="1113"/>
      <c r="DQ586" s="1113"/>
      <c r="DR586" s="1113"/>
      <c r="DS586" s="1113"/>
      <c r="DT586" s="1113"/>
      <c r="DU586" s="1113"/>
      <c r="DV586" s="1113"/>
      <c r="DW586" s="1113"/>
      <c r="DX586" s="1113"/>
      <c r="DY586" s="1113"/>
      <c r="DZ586" s="1113"/>
      <c r="EA586" s="1113"/>
      <c r="EB586" s="1113"/>
      <c r="EC586" s="1113"/>
      <c r="ED586" s="1113"/>
      <c r="EE586" s="1113"/>
      <c r="EF586" s="1113"/>
      <c r="EG586" s="1113"/>
      <c r="EH586" s="1113"/>
      <c r="EI586" s="1113"/>
      <c r="EJ586" s="1113"/>
      <c r="EK586" s="1113"/>
      <c r="EL586" s="1113"/>
      <c r="EM586" s="1113"/>
      <c r="EN586" s="1113"/>
      <c r="EO586" s="1113"/>
      <c r="EP586" s="1113"/>
      <c r="EQ586" s="1114"/>
    </row>
    <row r="587" spans="1:147" hidden="1">
      <c r="A587" s="1101" t="s">
        <v>26</v>
      </c>
      <c r="B587" s="1105" t="s">
        <v>1468</v>
      </c>
      <c r="C587" s="1100"/>
      <c r="D587" s="1100"/>
      <c r="E587" s="1100"/>
      <c r="F587" s="1100"/>
      <c r="G587" s="1100"/>
      <c r="H587" s="1100"/>
      <c r="I587" s="1100"/>
      <c r="J587" s="1100"/>
      <c r="K587" s="1100"/>
      <c r="L587" s="1100"/>
      <c r="M587" s="1100"/>
      <c r="N587" s="1100"/>
      <c r="O587" s="1100"/>
      <c r="P587" s="1100"/>
      <c r="Q587" s="1112"/>
      <c r="R587" s="1112"/>
      <c r="S587" s="1112"/>
      <c r="T587" s="1112"/>
      <c r="AJ587" s="1112"/>
      <c r="AK587" s="1112"/>
      <c r="AL587" s="1112"/>
      <c r="AM587" s="1112"/>
      <c r="AN587" s="1112"/>
      <c r="AO587" s="1112"/>
      <c r="AP587" s="1112"/>
      <c r="AQ587" s="1112"/>
      <c r="AR587" s="1112"/>
      <c r="AS587" s="1112"/>
      <c r="AT587" s="1112"/>
      <c r="AU587" s="1112"/>
      <c r="AV587" s="1112"/>
      <c r="AW587" s="1112"/>
      <c r="AX587" s="1112"/>
      <c r="AY587" s="1112"/>
      <c r="AZ587" s="1112"/>
      <c r="BA587" s="1112"/>
      <c r="BB587" s="1112"/>
      <c r="BC587" s="1112"/>
      <c r="BD587" s="1112"/>
      <c r="BE587" s="1112"/>
      <c r="BF587" s="1112"/>
      <c r="BG587" s="1112"/>
      <c r="BH587" s="1112"/>
      <c r="BI587" s="1112"/>
      <c r="BJ587" s="1112"/>
      <c r="BK587" s="1113"/>
      <c r="BL587" s="1113"/>
      <c r="BM587" s="1113"/>
      <c r="BN587" s="1113"/>
      <c r="BO587" s="1113"/>
      <c r="BP587" s="1113"/>
      <c r="BQ587" s="1113"/>
      <c r="BR587" s="1113"/>
      <c r="BS587" s="1113"/>
      <c r="BT587" s="1113"/>
      <c r="BU587" s="1113"/>
      <c r="BV587" s="1113"/>
      <c r="BW587" s="1113"/>
      <c r="BX587" s="1113"/>
      <c r="BY587" s="1113"/>
      <c r="BZ587" s="1113"/>
      <c r="CA587" s="1113"/>
      <c r="CB587" s="1113"/>
      <c r="CC587" s="1113"/>
      <c r="CD587" s="1113"/>
      <c r="CE587" s="1113"/>
      <c r="CF587" s="1113"/>
      <c r="CG587" s="1113"/>
      <c r="CH587" s="1113"/>
      <c r="CI587" s="1113"/>
      <c r="CJ587" s="1113"/>
      <c r="CK587" s="1113"/>
      <c r="CL587" s="1113"/>
      <c r="CM587" s="1113"/>
      <c r="CN587" s="1113"/>
      <c r="CO587" s="1113"/>
      <c r="CP587" s="1113"/>
      <c r="CQ587" s="1113"/>
      <c r="CR587" s="1113"/>
      <c r="CS587" s="1113"/>
      <c r="CT587" s="1113"/>
      <c r="CU587" s="1113"/>
      <c r="CV587" s="1113"/>
      <c r="CW587" s="1113"/>
      <c r="CX587" s="1113"/>
      <c r="CY587" s="1113"/>
      <c r="CZ587" s="1113"/>
      <c r="DA587" s="1113"/>
      <c r="DB587" s="1113"/>
      <c r="DC587" s="1113"/>
      <c r="DD587" s="1113"/>
      <c r="DE587" s="1113"/>
      <c r="DF587" s="1113"/>
      <c r="DG587" s="1113"/>
      <c r="DH587" s="1113"/>
      <c r="DI587" s="1113"/>
      <c r="DJ587" s="1113"/>
      <c r="DK587" s="1113"/>
      <c r="DL587" s="1113"/>
      <c r="DM587" s="1113"/>
      <c r="DN587" s="1113"/>
      <c r="DO587" s="1113"/>
      <c r="DP587" s="1113"/>
      <c r="DQ587" s="1113"/>
      <c r="DR587" s="1113"/>
      <c r="DS587" s="1113"/>
      <c r="DT587" s="1113"/>
      <c r="DU587" s="1113"/>
      <c r="DV587" s="1113"/>
      <c r="DW587" s="1113"/>
      <c r="DX587" s="1113"/>
      <c r="DY587" s="1113"/>
      <c r="DZ587" s="1113"/>
      <c r="EA587" s="1113"/>
      <c r="EB587" s="1113"/>
      <c r="EC587" s="1113"/>
      <c r="ED587" s="1113"/>
      <c r="EE587" s="1113"/>
      <c r="EF587" s="1113"/>
      <c r="EG587" s="1113"/>
      <c r="EH587" s="1113"/>
      <c r="EI587" s="1113"/>
      <c r="EJ587" s="1113"/>
      <c r="EK587" s="1113"/>
      <c r="EL587" s="1113"/>
      <c r="EM587" s="1113"/>
      <c r="EN587" s="1113"/>
      <c r="EO587" s="1115"/>
      <c r="EP587" s="1115"/>
      <c r="EQ587" s="1115"/>
    </row>
    <row r="588" spans="1:147" hidden="1">
      <c r="A588" s="1101"/>
      <c r="B588" s="1105" t="s">
        <v>1469</v>
      </c>
      <c r="C588" s="1100"/>
      <c r="D588" s="1100"/>
      <c r="E588" s="1100"/>
      <c r="F588" s="1100"/>
      <c r="G588" s="1100"/>
      <c r="H588" s="1100"/>
      <c r="I588" s="1100"/>
      <c r="J588" s="1100"/>
      <c r="K588" s="1100"/>
      <c r="L588" s="1100"/>
      <c r="M588" s="1100"/>
      <c r="N588" s="1100"/>
      <c r="O588" s="1100"/>
      <c r="P588" s="1100"/>
      <c r="Q588" s="1112"/>
      <c r="R588" s="1112"/>
      <c r="S588" s="1112"/>
      <c r="T588" s="1112"/>
      <c r="U588" s="1112"/>
      <c r="V588" s="1112"/>
      <c r="W588" s="1112"/>
      <c r="X588" s="1112"/>
      <c r="Y588" s="1112"/>
      <c r="Z588" s="1112"/>
      <c r="AA588" s="1112"/>
      <c r="AB588" s="1112"/>
      <c r="AC588" s="1112"/>
      <c r="AD588" s="1112"/>
      <c r="AE588" s="1112"/>
      <c r="AF588" s="1112"/>
      <c r="AG588" s="1112"/>
      <c r="AH588" s="1112"/>
      <c r="AI588" s="1112"/>
      <c r="AJ588" s="1112"/>
      <c r="AK588" s="1112"/>
      <c r="AL588" s="1112"/>
      <c r="AM588" s="1112"/>
      <c r="AN588" s="1112"/>
      <c r="AO588" s="1112"/>
      <c r="AP588" s="1112"/>
      <c r="AQ588" s="1112"/>
      <c r="AR588" s="1112"/>
      <c r="AS588" s="1112"/>
      <c r="AT588" s="1112"/>
      <c r="AU588" s="1112"/>
      <c r="AV588" s="1112"/>
      <c r="AW588" s="1112"/>
      <c r="AX588" s="1112"/>
      <c r="AY588" s="1112"/>
      <c r="AZ588" s="1112"/>
      <c r="BA588" s="1112"/>
      <c r="BB588" s="1112"/>
      <c r="BC588" s="1112"/>
      <c r="BD588" s="1112"/>
      <c r="BE588" s="1112"/>
      <c r="BF588" s="1112"/>
      <c r="BG588" s="1112"/>
      <c r="BH588" s="1112"/>
      <c r="BI588" s="1112"/>
      <c r="BJ588" s="1112"/>
      <c r="BK588" s="1113"/>
      <c r="BL588" s="1113"/>
      <c r="BM588" s="1113"/>
      <c r="BN588" s="1113"/>
      <c r="BO588" s="1113"/>
      <c r="BP588" s="1113"/>
      <c r="BQ588" s="1113"/>
      <c r="BR588" s="1113"/>
      <c r="BS588" s="1113"/>
      <c r="BT588" s="1113"/>
      <c r="BU588" s="1113"/>
      <c r="BV588" s="1113"/>
      <c r="BW588" s="1113"/>
      <c r="BX588" s="1113"/>
      <c r="BY588" s="1113"/>
      <c r="BZ588" s="1113"/>
      <c r="CA588" s="1113"/>
      <c r="CB588" s="1113"/>
      <c r="CC588" s="1113"/>
      <c r="CD588" s="1113"/>
      <c r="CE588" s="1113"/>
      <c r="CF588" s="1113"/>
      <c r="CG588" s="1113"/>
      <c r="CH588" s="1113"/>
      <c r="CI588" s="1113"/>
      <c r="CJ588" s="1113"/>
      <c r="CK588" s="1113"/>
      <c r="CL588" s="1113"/>
      <c r="CM588" s="1113"/>
      <c r="CN588" s="1113"/>
      <c r="CO588" s="1113"/>
      <c r="CP588" s="1113"/>
      <c r="CQ588" s="1113"/>
      <c r="CR588" s="1113"/>
      <c r="CS588" s="1113"/>
      <c r="CT588" s="1113"/>
      <c r="CU588" s="1113"/>
      <c r="CV588" s="1113"/>
      <c r="CW588" s="1113"/>
      <c r="CX588" s="1113"/>
      <c r="CY588" s="1113"/>
      <c r="CZ588" s="1113"/>
      <c r="DA588" s="1113"/>
      <c r="DB588" s="1113"/>
      <c r="DC588" s="1113"/>
      <c r="DD588" s="1113"/>
      <c r="DE588" s="1113"/>
      <c r="DF588" s="1113"/>
      <c r="DG588" s="1113"/>
      <c r="DH588" s="1113"/>
      <c r="DI588" s="1113"/>
      <c r="DJ588" s="1113"/>
      <c r="DK588" s="1113"/>
      <c r="DL588" s="1113"/>
      <c r="DM588" s="1113"/>
      <c r="DN588" s="1113"/>
      <c r="DO588" s="1113"/>
      <c r="DP588" s="1113"/>
      <c r="DQ588" s="1113"/>
      <c r="DR588" s="1113"/>
      <c r="DS588" s="1113"/>
      <c r="DT588" s="1113"/>
      <c r="DU588" s="1113"/>
      <c r="DV588" s="1113"/>
      <c r="DW588" s="1113"/>
      <c r="DX588" s="1113"/>
      <c r="DY588" s="1113"/>
      <c r="DZ588" s="1113"/>
      <c r="EA588" s="1113"/>
      <c r="EB588" s="1113"/>
      <c r="EC588" s="1113"/>
      <c r="ED588" s="1113"/>
      <c r="EE588" s="1113"/>
      <c r="EF588" s="1113"/>
      <c r="EG588" s="1113"/>
      <c r="EH588" s="1113"/>
      <c r="EI588" s="1113"/>
      <c r="EJ588" s="1113"/>
      <c r="EK588" s="1113"/>
      <c r="EL588" s="1113"/>
      <c r="EM588" s="1113"/>
      <c r="EN588" s="1113"/>
      <c r="EO588" s="1115"/>
      <c r="EP588" s="1115"/>
      <c r="EQ588" s="1115"/>
    </row>
    <row r="589" spans="1:147" hidden="1">
      <c r="A589" s="1101">
        <v>1</v>
      </c>
      <c r="B589" s="1105" t="s">
        <v>1469</v>
      </c>
      <c r="C589" s="1100"/>
      <c r="D589" s="1100"/>
      <c r="E589" s="1100"/>
      <c r="F589" s="1100"/>
      <c r="G589" s="1100"/>
      <c r="H589" s="1100"/>
      <c r="I589" s="1100"/>
      <c r="J589" s="1100"/>
      <c r="K589" s="1100"/>
      <c r="L589" s="1100"/>
      <c r="M589" s="1100"/>
      <c r="N589" s="1100"/>
      <c r="O589" s="1100"/>
      <c r="P589" s="1100"/>
    </row>
    <row r="590" spans="1:147" hidden="1">
      <c r="A590" s="1101">
        <v>2</v>
      </c>
      <c r="B590" s="1105" t="s">
        <v>1987</v>
      </c>
      <c r="C590" s="1100"/>
      <c r="D590" s="1100"/>
      <c r="E590" s="1100"/>
      <c r="F590" s="1100"/>
      <c r="G590" s="1100"/>
      <c r="H590" s="1100"/>
      <c r="I590" s="1100"/>
      <c r="J590" s="1100"/>
      <c r="K590" s="1100"/>
      <c r="L590" s="1100"/>
      <c r="M590" s="1100"/>
      <c r="N590" s="1100"/>
      <c r="O590" s="1100"/>
      <c r="P590" s="1100"/>
    </row>
    <row r="591" spans="1:147" hidden="1">
      <c r="A591" s="1101">
        <v>3</v>
      </c>
      <c r="B591" s="1105" t="s">
        <v>1988</v>
      </c>
      <c r="C591" s="1100"/>
      <c r="D591" s="1100"/>
      <c r="E591" s="1100"/>
      <c r="F591" s="1100"/>
      <c r="G591" s="1100"/>
      <c r="H591" s="1100"/>
      <c r="I591" s="1100"/>
      <c r="J591" s="1100"/>
      <c r="K591" s="1100"/>
      <c r="L591" s="1100"/>
      <c r="M591" s="1100"/>
      <c r="N591" s="1100"/>
      <c r="O591" s="1100"/>
      <c r="P591" s="1100"/>
    </row>
    <row r="592" spans="1:147" hidden="1">
      <c r="A592" s="1101">
        <v>4</v>
      </c>
      <c r="B592" s="1105" t="s">
        <v>1989</v>
      </c>
      <c r="C592" s="1100"/>
      <c r="D592" s="1100"/>
      <c r="E592" s="1100"/>
      <c r="F592" s="1100"/>
      <c r="G592" s="1100"/>
      <c r="H592" s="1100"/>
      <c r="I592" s="1100"/>
      <c r="J592" s="1100"/>
      <c r="K592" s="1100"/>
      <c r="L592" s="1100"/>
      <c r="M592" s="1100"/>
      <c r="N592" s="1100"/>
      <c r="O592" s="1100"/>
      <c r="P592" s="1100"/>
    </row>
    <row r="593" spans="1:16" hidden="1">
      <c r="A593" s="1101"/>
      <c r="B593" s="1105" t="s">
        <v>153</v>
      </c>
      <c r="C593" s="1100"/>
      <c r="D593" s="1100"/>
      <c r="E593" s="1100"/>
      <c r="F593" s="1100"/>
      <c r="G593" s="1100"/>
      <c r="H593" s="1100"/>
      <c r="I593" s="1100"/>
      <c r="J593" s="1100"/>
      <c r="K593" s="1100"/>
      <c r="L593" s="1100"/>
      <c r="M593" s="1100"/>
      <c r="N593" s="1100"/>
      <c r="O593" s="1100"/>
      <c r="P593" s="1100"/>
    </row>
    <row r="594" spans="1:16" hidden="1">
      <c r="A594" s="1101"/>
      <c r="B594" s="1105"/>
      <c r="C594" s="1100"/>
      <c r="D594" s="1100"/>
      <c r="E594" s="1100"/>
      <c r="F594" s="1100"/>
      <c r="G594" s="1100"/>
      <c r="H594" s="1100"/>
      <c r="I594" s="1100"/>
      <c r="J594" s="1100"/>
      <c r="K594" s="1100"/>
      <c r="L594" s="1100"/>
      <c r="M594" s="1100"/>
      <c r="N594" s="1100"/>
      <c r="O594" s="1100"/>
      <c r="P594" s="1100"/>
    </row>
    <row r="595" spans="1:16" hidden="1">
      <c r="A595" s="1106" t="s">
        <v>82</v>
      </c>
      <c r="B595" s="1105" t="s">
        <v>1470</v>
      </c>
      <c r="C595" s="1100"/>
      <c r="D595" s="1100"/>
      <c r="E595" s="1100"/>
      <c r="F595" s="1100"/>
      <c r="G595" s="1100"/>
      <c r="H595" s="1100"/>
      <c r="I595" s="1100"/>
      <c r="J595" s="1100"/>
      <c r="K595" s="1100"/>
      <c r="L595" s="1100"/>
      <c r="M595" s="1100"/>
      <c r="N595" s="1100"/>
      <c r="O595" s="1100"/>
      <c r="P595" s="1100"/>
    </row>
    <row r="596" spans="1:16" hidden="1">
      <c r="A596" s="1106">
        <v>1</v>
      </c>
      <c r="B596" s="1105" t="s">
        <v>1470</v>
      </c>
      <c r="C596" s="1100"/>
      <c r="D596" s="1100"/>
      <c r="E596" s="1100"/>
      <c r="F596" s="1100"/>
      <c r="G596" s="1100"/>
      <c r="H596" s="1100"/>
      <c r="I596" s="1100"/>
      <c r="J596" s="1100"/>
      <c r="K596" s="1100"/>
      <c r="L596" s="1100"/>
      <c r="M596" s="1100"/>
      <c r="N596" s="1100"/>
      <c r="O596" s="1100"/>
      <c r="P596" s="1100"/>
    </row>
    <row r="597" spans="1:16" hidden="1">
      <c r="A597" s="1106">
        <v>2</v>
      </c>
      <c r="B597" s="1105" t="s">
        <v>1990</v>
      </c>
      <c r="C597" s="1100"/>
      <c r="D597" s="1100"/>
      <c r="E597" s="1100"/>
      <c r="F597" s="1100"/>
      <c r="G597" s="1100"/>
      <c r="H597" s="1100"/>
      <c r="I597" s="1100"/>
      <c r="J597" s="1100"/>
      <c r="K597" s="1100"/>
      <c r="L597" s="1100"/>
      <c r="M597" s="1100"/>
      <c r="N597" s="1100"/>
      <c r="O597" s="1100"/>
      <c r="P597" s="1100"/>
    </row>
    <row r="598" spans="1:16" hidden="1">
      <c r="A598" s="1106"/>
      <c r="B598" s="1105" t="s">
        <v>1991</v>
      </c>
      <c r="C598" s="1100"/>
      <c r="D598" s="1100"/>
      <c r="E598" s="1100"/>
      <c r="F598" s="1100"/>
      <c r="G598" s="1100"/>
      <c r="H598" s="1100"/>
      <c r="I598" s="1100"/>
      <c r="J598" s="1100"/>
      <c r="K598" s="1100"/>
      <c r="L598" s="1100"/>
      <c r="M598" s="1100"/>
      <c r="N598" s="1100"/>
      <c r="O598" s="1100"/>
      <c r="P598" s="1100"/>
    </row>
    <row r="599" spans="1:16" hidden="1">
      <c r="A599" s="1101"/>
      <c r="B599" s="1105" t="s">
        <v>153</v>
      </c>
      <c r="C599" s="1100"/>
      <c r="D599" s="1100"/>
      <c r="E599" s="1100"/>
      <c r="F599" s="1100"/>
      <c r="G599" s="1100"/>
      <c r="H599" s="1100"/>
      <c r="I599" s="1100"/>
      <c r="J599" s="1100"/>
      <c r="K599" s="1100"/>
      <c r="L599" s="1100"/>
      <c r="M599" s="1100"/>
      <c r="N599" s="1100"/>
      <c r="O599" s="1100"/>
      <c r="P599" s="1100"/>
    </row>
    <row r="600" spans="1:16" hidden="1">
      <c r="A600" s="1101"/>
      <c r="B600" s="1105"/>
      <c r="C600" s="1100"/>
      <c r="D600" s="1100"/>
      <c r="E600" s="1100"/>
      <c r="F600" s="1100"/>
      <c r="G600" s="1100"/>
      <c r="H600" s="1100"/>
      <c r="I600" s="1100"/>
      <c r="J600" s="1100"/>
      <c r="K600" s="1100"/>
      <c r="L600" s="1100"/>
      <c r="M600" s="1100"/>
      <c r="N600" s="1100"/>
      <c r="O600" s="1100"/>
      <c r="P600" s="1100"/>
    </row>
    <row r="601" spans="1:16" hidden="1">
      <c r="A601" s="1101" t="s">
        <v>89</v>
      </c>
      <c r="B601" s="1105" t="s">
        <v>1471</v>
      </c>
      <c r="C601" s="1100"/>
      <c r="D601" s="1100"/>
      <c r="E601" s="1100"/>
      <c r="F601" s="1100"/>
      <c r="G601" s="1100"/>
      <c r="H601" s="1100"/>
      <c r="I601" s="1100"/>
      <c r="J601" s="1100"/>
      <c r="K601" s="1100"/>
      <c r="L601" s="1100"/>
      <c r="M601" s="1100"/>
      <c r="N601" s="1100"/>
      <c r="O601" s="1100"/>
      <c r="P601" s="1100"/>
    </row>
    <row r="602" spans="1:16" hidden="1">
      <c r="A602" s="1101">
        <v>1</v>
      </c>
      <c r="B602" s="1105" t="s">
        <v>1992</v>
      </c>
      <c r="C602" s="1100"/>
      <c r="D602" s="1100"/>
      <c r="E602" s="1100"/>
      <c r="F602" s="1100"/>
      <c r="G602" s="1100"/>
      <c r="H602" s="1100"/>
      <c r="I602" s="1100"/>
      <c r="J602" s="1100"/>
      <c r="K602" s="1100"/>
      <c r="L602" s="1100"/>
      <c r="M602" s="1100"/>
      <c r="N602" s="1100"/>
      <c r="O602" s="1100"/>
      <c r="P602" s="1100"/>
    </row>
    <row r="603" spans="1:16" hidden="1">
      <c r="A603" s="1101"/>
      <c r="B603" s="1105"/>
      <c r="C603" s="1100"/>
      <c r="D603" s="1100"/>
      <c r="E603" s="1100"/>
      <c r="F603" s="1100"/>
      <c r="G603" s="1100"/>
      <c r="H603" s="1100"/>
      <c r="I603" s="1100"/>
      <c r="J603" s="1100"/>
      <c r="K603" s="1100"/>
      <c r="L603" s="1100"/>
      <c r="M603" s="1100"/>
      <c r="N603" s="1100"/>
      <c r="O603" s="1100"/>
      <c r="P603" s="1100"/>
    </row>
    <row r="604" spans="1:16" hidden="1">
      <c r="A604" s="1101" t="s">
        <v>487</v>
      </c>
      <c r="B604" s="1105" t="s">
        <v>1331</v>
      </c>
      <c r="C604" s="1100"/>
      <c r="D604" s="1100"/>
      <c r="E604" s="1100"/>
      <c r="F604" s="1100"/>
      <c r="G604" s="1100"/>
      <c r="H604" s="1100"/>
      <c r="I604" s="1100"/>
      <c r="J604" s="1100"/>
      <c r="K604" s="1100"/>
      <c r="L604" s="1100"/>
      <c r="M604" s="1100"/>
      <c r="N604" s="1100"/>
      <c r="O604" s="1100"/>
      <c r="P604" s="1100"/>
    </row>
    <row r="605" spans="1:16" hidden="1">
      <c r="A605" s="1101"/>
      <c r="B605" s="1105" t="s">
        <v>1469</v>
      </c>
      <c r="C605" s="1100"/>
      <c r="D605" s="1100"/>
      <c r="E605" s="1100"/>
      <c r="F605" s="1100"/>
      <c r="G605" s="1100"/>
      <c r="H605" s="1100"/>
      <c r="I605" s="1100"/>
      <c r="J605" s="1100"/>
      <c r="K605" s="1100"/>
      <c r="L605" s="1100"/>
      <c r="M605" s="1100"/>
      <c r="N605" s="1100"/>
      <c r="O605" s="1100"/>
      <c r="P605" s="1100"/>
    </row>
    <row r="606" spans="1:16" hidden="1">
      <c r="A606" s="1101">
        <v>1</v>
      </c>
      <c r="B606" s="1105" t="s">
        <v>1469</v>
      </c>
      <c r="C606" s="1100"/>
      <c r="D606" s="1100"/>
      <c r="E606" s="1100"/>
      <c r="F606" s="1100"/>
      <c r="G606" s="1100"/>
      <c r="H606" s="1100"/>
      <c r="I606" s="1100"/>
      <c r="J606" s="1100"/>
      <c r="K606" s="1100"/>
      <c r="L606" s="1100"/>
      <c r="M606" s="1100"/>
      <c r="N606" s="1100"/>
      <c r="O606" s="1100"/>
      <c r="P606" s="1100"/>
    </row>
    <row r="607" spans="1:16" hidden="1">
      <c r="A607" s="1101">
        <v>2</v>
      </c>
      <c r="B607" s="1105" t="s">
        <v>1993</v>
      </c>
      <c r="C607" s="1100"/>
      <c r="D607" s="1100"/>
      <c r="E607" s="1100"/>
      <c r="F607" s="1100"/>
      <c r="G607" s="1100"/>
      <c r="H607" s="1100"/>
      <c r="I607" s="1100"/>
      <c r="J607" s="1100"/>
      <c r="K607" s="1100"/>
      <c r="L607" s="1100"/>
      <c r="M607" s="1100"/>
      <c r="N607" s="1100"/>
      <c r="O607" s="1100"/>
      <c r="P607" s="1100"/>
    </row>
    <row r="608" spans="1:16" hidden="1">
      <c r="A608" s="1101">
        <v>3</v>
      </c>
      <c r="B608" s="1105" t="s">
        <v>1346</v>
      </c>
      <c r="C608" s="1100"/>
      <c r="D608" s="1100"/>
      <c r="E608" s="1100"/>
      <c r="F608" s="1100"/>
      <c r="G608" s="1100"/>
      <c r="H608" s="1100"/>
      <c r="I608" s="1100"/>
      <c r="J608" s="1100"/>
      <c r="K608" s="1100"/>
      <c r="L608" s="1100"/>
      <c r="M608" s="1100"/>
      <c r="N608" s="1100"/>
      <c r="O608" s="1100"/>
      <c r="P608" s="1100"/>
    </row>
    <row r="609" spans="1:16" hidden="1">
      <c r="A609" s="1101">
        <v>4</v>
      </c>
      <c r="B609" s="1105" t="s">
        <v>1994</v>
      </c>
      <c r="C609" s="1100"/>
      <c r="D609" s="1100"/>
      <c r="E609" s="1100"/>
      <c r="F609" s="1100"/>
      <c r="G609" s="1100"/>
      <c r="H609" s="1100"/>
      <c r="I609" s="1100"/>
      <c r="J609" s="1100"/>
      <c r="K609" s="1100"/>
      <c r="L609" s="1100"/>
      <c r="M609" s="1100"/>
      <c r="N609" s="1100"/>
      <c r="O609" s="1100"/>
      <c r="P609" s="1100"/>
    </row>
    <row r="610" spans="1:16" hidden="1">
      <c r="A610" s="1101">
        <v>5</v>
      </c>
      <c r="B610" s="1105" t="s">
        <v>1995</v>
      </c>
      <c r="C610" s="1100"/>
      <c r="D610" s="1100"/>
      <c r="E610" s="1100"/>
      <c r="F610" s="1100"/>
      <c r="G610" s="1100"/>
      <c r="H610" s="1100"/>
      <c r="I610" s="1100"/>
      <c r="J610" s="1100"/>
      <c r="K610" s="1100"/>
      <c r="L610" s="1100"/>
      <c r="M610" s="1100"/>
      <c r="N610" s="1100"/>
      <c r="O610" s="1100"/>
      <c r="P610" s="1100"/>
    </row>
    <row r="611" spans="1:16" hidden="1">
      <c r="A611" s="1101">
        <v>6</v>
      </c>
      <c r="B611" s="1105" t="s">
        <v>1996</v>
      </c>
      <c r="C611" s="1100"/>
      <c r="D611" s="1100"/>
      <c r="E611" s="1100"/>
      <c r="F611" s="1100"/>
      <c r="G611" s="1100"/>
      <c r="H611" s="1100"/>
      <c r="I611" s="1100"/>
      <c r="J611" s="1100"/>
      <c r="K611" s="1100"/>
      <c r="L611" s="1100"/>
      <c r="M611" s="1100"/>
      <c r="N611" s="1100"/>
      <c r="O611" s="1100"/>
      <c r="P611" s="1100"/>
    </row>
    <row r="612" spans="1:16" hidden="1">
      <c r="A612" s="1101">
        <v>7</v>
      </c>
      <c r="B612" s="1105" t="s">
        <v>1997</v>
      </c>
      <c r="C612" s="1100"/>
      <c r="D612" s="1100"/>
      <c r="E612" s="1100"/>
      <c r="F612" s="1100"/>
      <c r="G612" s="1100"/>
      <c r="H612" s="1100"/>
      <c r="I612" s="1100"/>
      <c r="J612" s="1100"/>
      <c r="K612" s="1100"/>
      <c r="L612" s="1100"/>
      <c r="M612" s="1100"/>
      <c r="N612" s="1100"/>
      <c r="O612" s="1100"/>
      <c r="P612" s="1100"/>
    </row>
    <row r="613" spans="1:16" hidden="1">
      <c r="A613" s="1101">
        <v>8</v>
      </c>
      <c r="B613" s="1105" t="s">
        <v>1998</v>
      </c>
      <c r="C613" s="1100"/>
      <c r="D613" s="1100"/>
      <c r="E613" s="1100"/>
      <c r="F613" s="1100"/>
      <c r="G613" s="1100"/>
      <c r="H613" s="1100"/>
      <c r="I613" s="1100"/>
      <c r="J613" s="1100"/>
      <c r="K613" s="1100"/>
      <c r="L613" s="1100"/>
      <c r="M613" s="1100"/>
      <c r="N613" s="1100"/>
      <c r="O613" s="1100"/>
      <c r="P613" s="1100"/>
    </row>
    <row r="614" spans="1:16" hidden="1">
      <c r="A614" s="1101"/>
      <c r="B614" s="1105" t="s">
        <v>1472</v>
      </c>
      <c r="C614" s="1100"/>
      <c r="D614" s="1100"/>
      <c r="E614" s="1100"/>
      <c r="F614" s="1100"/>
      <c r="G614" s="1100"/>
      <c r="H614" s="1100"/>
      <c r="I614" s="1100"/>
      <c r="J614" s="1100"/>
      <c r="K614" s="1100"/>
      <c r="L614" s="1100"/>
      <c r="M614" s="1100"/>
      <c r="N614" s="1100"/>
      <c r="O614" s="1100"/>
      <c r="P614" s="1100"/>
    </row>
    <row r="615" spans="1:16" hidden="1">
      <c r="A615" s="1101">
        <v>1</v>
      </c>
      <c r="B615" s="1105" t="s">
        <v>1472</v>
      </c>
      <c r="C615" s="1100"/>
      <c r="D615" s="1100"/>
      <c r="E615" s="1100"/>
      <c r="F615" s="1100"/>
      <c r="G615" s="1100"/>
      <c r="H615" s="1100"/>
      <c r="I615" s="1100"/>
      <c r="J615" s="1100"/>
      <c r="K615" s="1100"/>
      <c r="L615" s="1100"/>
      <c r="M615" s="1100"/>
      <c r="N615" s="1100"/>
      <c r="O615" s="1100"/>
      <c r="P615" s="1100"/>
    </row>
    <row r="616" spans="1:16" hidden="1">
      <c r="A616" s="1101">
        <v>2</v>
      </c>
      <c r="B616" s="1105" t="s">
        <v>1333</v>
      </c>
      <c r="C616" s="1100"/>
      <c r="D616" s="1100"/>
      <c r="E616" s="1100"/>
      <c r="F616" s="1100"/>
      <c r="G616" s="1100"/>
      <c r="H616" s="1100"/>
      <c r="I616" s="1100"/>
      <c r="J616" s="1100"/>
      <c r="K616" s="1100"/>
      <c r="L616" s="1100"/>
      <c r="M616" s="1100"/>
      <c r="N616" s="1100"/>
      <c r="O616" s="1100"/>
      <c r="P616" s="1100"/>
    </row>
    <row r="617" spans="1:16" hidden="1">
      <c r="A617" s="1101">
        <v>3</v>
      </c>
      <c r="B617" s="1105" t="s">
        <v>1999</v>
      </c>
      <c r="C617" s="1100"/>
      <c r="D617" s="1100"/>
      <c r="E617" s="1100"/>
      <c r="F617" s="1100"/>
      <c r="G617" s="1100"/>
      <c r="H617" s="1100"/>
      <c r="I617" s="1100"/>
      <c r="J617" s="1100"/>
      <c r="K617" s="1100"/>
      <c r="L617" s="1100"/>
      <c r="M617" s="1100"/>
      <c r="N617" s="1100"/>
      <c r="O617" s="1100"/>
      <c r="P617" s="1100"/>
    </row>
    <row r="618" spans="1:16" hidden="1">
      <c r="A618" s="1101">
        <v>4</v>
      </c>
      <c r="B618" s="1105" t="s">
        <v>1335</v>
      </c>
      <c r="C618" s="1100"/>
      <c r="D618" s="1100"/>
      <c r="E618" s="1100"/>
      <c r="F618" s="1100"/>
      <c r="G618" s="1100"/>
      <c r="H618" s="1100"/>
      <c r="I618" s="1100"/>
      <c r="J618" s="1100"/>
      <c r="K618" s="1100"/>
      <c r="L618" s="1100"/>
      <c r="M618" s="1100"/>
      <c r="N618" s="1100"/>
      <c r="O618" s="1100"/>
      <c r="P618" s="1100"/>
    </row>
    <row r="619" spans="1:16" hidden="1">
      <c r="A619" s="1101">
        <v>5</v>
      </c>
      <c r="B619" s="1105" t="s">
        <v>1336</v>
      </c>
      <c r="C619" s="1100"/>
      <c r="D619" s="1100"/>
      <c r="E619" s="1100"/>
      <c r="F619" s="1100"/>
      <c r="G619" s="1100"/>
      <c r="H619" s="1100"/>
      <c r="I619" s="1100"/>
      <c r="J619" s="1100"/>
      <c r="K619" s="1100"/>
      <c r="L619" s="1100"/>
      <c r="M619" s="1100"/>
      <c r="N619" s="1100"/>
      <c r="O619" s="1100"/>
      <c r="P619" s="1100"/>
    </row>
    <row r="620" spans="1:16" hidden="1">
      <c r="A620" s="1101">
        <v>6</v>
      </c>
      <c r="B620" s="1105" t="s">
        <v>1337</v>
      </c>
      <c r="C620" s="1100"/>
      <c r="D620" s="1100"/>
      <c r="E620" s="1100"/>
      <c r="F620" s="1100"/>
      <c r="G620" s="1100"/>
      <c r="H620" s="1100"/>
      <c r="I620" s="1100"/>
      <c r="J620" s="1100"/>
      <c r="K620" s="1100"/>
      <c r="L620" s="1100"/>
      <c r="M620" s="1100"/>
      <c r="N620" s="1100"/>
      <c r="O620" s="1100"/>
      <c r="P620" s="1100"/>
    </row>
    <row r="621" spans="1:16" hidden="1">
      <c r="A621" s="1101">
        <v>7</v>
      </c>
      <c r="B621" s="1105" t="s">
        <v>1338</v>
      </c>
      <c r="C621" s="1100"/>
      <c r="D621" s="1100"/>
      <c r="E621" s="1100"/>
      <c r="F621" s="1100"/>
      <c r="G621" s="1100"/>
      <c r="H621" s="1100"/>
      <c r="I621" s="1100"/>
      <c r="J621" s="1100"/>
      <c r="K621" s="1100"/>
      <c r="L621" s="1100"/>
      <c r="M621" s="1100"/>
      <c r="N621" s="1100"/>
      <c r="O621" s="1100"/>
      <c r="P621" s="1100"/>
    </row>
    <row r="622" spans="1:16" hidden="1">
      <c r="A622" s="1101">
        <v>8</v>
      </c>
      <c r="B622" s="1105" t="s">
        <v>2000</v>
      </c>
      <c r="C622" s="1100"/>
      <c r="D622" s="1100"/>
      <c r="E622" s="1100"/>
      <c r="F622" s="1100"/>
      <c r="G622" s="1100"/>
      <c r="H622" s="1100"/>
      <c r="I622" s="1100"/>
      <c r="J622" s="1100"/>
      <c r="K622" s="1100"/>
      <c r="L622" s="1100"/>
      <c r="M622" s="1100"/>
      <c r="N622" s="1100"/>
      <c r="O622" s="1100"/>
      <c r="P622" s="1100"/>
    </row>
    <row r="623" spans="1:16" hidden="1">
      <c r="A623" s="1101">
        <v>9</v>
      </c>
      <c r="B623" s="1105" t="s">
        <v>2001</v>
      </c>
      <c r="C623" s="1100"/>
      <c r="D623" s="1100"/>
      <c r="E623" s="1100"/>
      <c r="F623" s="1100"/>
      <c r="G623" s="1100"/>
      <c r="H623" s="1100"/>
      <c r="I623" s="1100"/>
      <c r="J623" s="1100"/>
      <c r="K623" s="1100"/>
      <c r="L623" s="1100"/>
      <c r="M623" s="1100"/>
      <c r="N623" s="1100"/>
      <c r="O623" s="1100"/>
      <c r="P623" s="1100"/>
    </row>
    <row r="624" spans="1:16" hidden="1">
      <c r="A624" s="1101">
        <v>10</v>
      </c>
      <c r="B624" s="1105" t="s">
        <v>2002</v>
      </c>
      <c r="C624" s="1100"/>
      <c r="D624" s="1100"/>
      <c r="E624" s="1100"/>
      <c r="F624" s="1100"/>
      <c r="G624" s="1100"/>
      <c r="H624" s="1100"/>
      <c r="I624" s="1100"/>
      <c r="J624" s="1100"/>
      <c r="K624" s="1100"/>
      <c r="L624" s="1100"/>
      <c r="M624" s="1100"/>
      <c r="N624" s="1100"/>
      <c r="O624" s="1100"/>
      <c r="P624" s="1100"/>
    </row>
    <row r="625" spans="1:16" hidden="1">
      <c r="A625" s="1101">
        <v>11</v>
      </c>
      <c r="B625" s="1105" t="s">
        <v>2003</v>
      </c>
      <c r="C625" s="1100"/>
      <c r="D625" s="1100"/>
      <c r="E625" s="1100"/>
      <c r="F625" s="1100"/>
      <c r="G625" s="1100"/>
      <c r="H625" s="1100"/>
      <c r="I625" s="1100"/>
      <c r="J625" s="1100"/>
      <c r="K625" s="1100"/>
      <c r="L625" s="1100"/>
      <c r="M625" s="1100"/>
      <c r="N625" s="1100"/>
      <c r="O625" s="1100"/>
      <c r="P625" s="1100"/>
    </row>
    <row r="626" spans="1:16" hidden="1">
      <c r="A626" s="1101">
        <v>12</v>
      </c>
      <c r="B626" s="1105" t="s">
        <v>2004</v>
      </c>
      <c r="C626" s="1100"/>
      <c r="D626" s="1100"/>
      <c r="E626" s="1100"/>
      <c r="F626" s="1100"/>
      <c r="G626" s="1100"/>
      <c r="H626" s="1100"/>
      <c r="I626" s="1100"/>
      <c r="J626" s="1100"/>
      <c r="K626" s="1100"/>
      <c r="L626" s="1100"/>
      <c r="M626" s="1100"/>
      <c r="N626" s="1100"/>
      <c r="O626" s="1100"/>
      <c r="P626" s="1100"/>
    </row>
    <row r="627" spans="1:16" hidden="1">
      <c r="A627" s="1101">
        <v>13</v>
      </c>
      <c r="B627" s="1105" t="s">
        <v>2005</v>
      </c>
      <c r="C627" s="1100"/>
      <c r="D627" s="1100"/>
      <c r="E627" s="1100"/>
      <c r="F627" s="1100"/>
      <c r="G627" s="1100"/>
      <c r="H627" s="1100"/>
      <c r="I627" s="1100"/>
      <c r="J627" s="1100"/>
      <c r="K627" s="1100"/>
      <c r="L627" s="1100"/>
      <c r="M627" s="1100"/>
      <c r="N627" s="1100"/>
      <c r="O627" s="1100"/>
      <c r="P627" s="1100"/>
    </row>
    <row r="628" spans="1:16" hidden="1">
      <c r="A628" s="1101">
        <v>14</v>
      </c>
      <c r="B628" s="1105" t="s">
        <v>1342</v>
      </c>
      <c r="C628" s="1100"/>
      <c r="D628" s="1100"/>
      <c r="E628" s="1100"/>
      <c r="F628" s="1100"/>
      <c r="G628" s="1100"/>
      <c r="H628" s="1100"/>
      <c r="I628" s="1100"/>
      <c r="J628" s="1100"/>
      <c r="K628" s="1100"/>
      <c r="L628" s="1100"/>
      <c r="M628" s="1100"/>
      <c r="N628" s="1100"/>
      <c r="O628" s="1100"/>
      <c r="P628" s="1100"/>
    </row>
    <row r="629" spans="1:16" hidden="1">
      <c r="A629" s="1101">
        <v>15</v>
      </c>
      <c r="B629" s="1105" t="s">
        <v>1343</v>
      </c>
      <c r="C629" s="1100"/>
      <c r="D629" s="1100"/>
      <c r="E629" s="1100"/>
      <c r="F629" s="1100"/>
      <c r="G629" s="1100"/>
      <c r="H629" s="1100"/>
      <c r="I629" s="1100"/>
      <c r="J629" s="1100"/>
      <c r="K629" s="1100"/>
      <c r="L629" s="1100"/>
      <c r="M629" s="1100"/>
      <c r="N629" s="1100"/>
      <c r="O629" s="1100"/>
      <c r="P629" s="1100"/>
    </row>
    <row r="630" spans="1:16" hidden="1">
      <c r="A630" s="1101">
        <v>16</v>
      </c>
      <c r="B630" s="1105" t="s">
        <v>2006</v>
      </c>
      <c r="C630" s="1100"/>
      <c r="D630" s="1100"/>
      <c r="E630" s="1100"/>
      <c r="F630" s="1100"/>
      <c r="G630" s="1100"/>
      <c r="H630" s="1100"/>
      <c r="I630" s="1100"/>
      <c r="J630" s="1100"/>
      <c r="K630" s="1100"/>
      <c r="L630" s="1100"/>
      <c r="M630" s="1100"/>
      <c r="N630" s="1100"/>
      <c r="O630" s="1100"/>
      <c r="P630" s="1100"/>
    </row>
    <row r="631" spans="1:16" hidden="1">
      <c r="A631" s="1101">
        <v>17</v>
      </c>
      <c r="B631" s="1105" t="s">
        <v>2007</v>
      </c>
      <c r="C631" s="1100"/>
      <c r="D631" s="1100"/>
      <c r="E631" s="1100"/>
      <c r="F631" s="1100"/>
      <c r="G631" s="1100"/>
      <c r="H631" s="1100"/>
      <c r="I631" s="1100"/>
      <c r="J631" s="1100"/>
      <c r="K631" s="1100"/>
      <c r="L631" s="1100"/>
      <c r="M631" s="1100"/>
      <c r="N631" s="1100"/>
      <c r="O631" s="1100"/>
      <c r="P631" s="1100"/>
    </row>
    <row r="632" spans="1:16" hidden="1">
      <c r="A632" s="1101"/>
      <c r="B632" s="1105" t="s">
        <v>153</v>
      </c>
      <c r="C632" s="1100"/>
      <c r="D632" s="1100"/>
      <c r="E632" s="1100"/>
      <c r="F632" s="1100"/>
      <c r="G632" s="1100"/>
      <c r="H632" s="1100"/>
      <c r="I632" s="1100"/>
      <c r="J632" s="1100"/>
      <c r="K632" s="1100"/>
      <c r="L632" s="1100"/>
      <c r="M632" s="1100"/>
      <c r="N632" s="1100"/>
      <c r="O632" s="1100"/>
      <c r="P632" s="1100"/>
    </row>
    <row r="633" spans="1:16" hidden="1">
      <c r="A633" s="1101"/>
      <c r="B633" s="1105"/>
      <c r="C633" s="1100"/>
      <c r="D633" s="1100"/>
      <c r="E633" s="1100"/>
      <c r="F633" s="1100"/>
      <c r="G633" s="1100"/>
      <c r="H633" s="1100"/>
      <c r="I633" s="1100"/>
      <c r="J633" s="1100"/>
      <c r="K633" s="1100"/>
      <c r="L633" s="1100"/>
      <c r="M633" s="1100"/>
      <c r="N633" s="1100"/>
      <c r="O633" s="1100"/>
      <c r="P633" s="1100"/>
    </row>
    <row r="634" spans="1:16" hidden="1">
      <c r="A634" s="1101"/>
      <c r="B634" s="1107" t="s">
        <v>143</v>
      </c>
      <c r="C634" s="1100"/>
      <c r="D634" s="1100"/>
      <c r="E634" s="1100"/>
      <c r="F634" s="1100"/>
      <c r="G634" s="1100"/>
      <c r="H634" s="1100"/>
      <c r="I634" s="1100"/>
      <c r="J634" s="1100"/>
      <c r="K634" s="1100"/>
      <c r="L634" s="1100"/>
      <c r="M634" s="1100"/>
      <c r="N634" s="1100"/>
      <c r="O634" s="1100"/>
      <c r="P634" s="1100"/>
    </row>
    <row r="635" spans="1:16" hidden="1">
      <c r="A635" s="1101"/>
      <c r="B635" s="1105"/>
      <c r="C635" s="1100"/>
      <c r="D635" s="1100"/>
      <c r="E635" s="1100"/>
      <c r="F635" s="1100"/>
      <c r="G635" s="1100"/>
      <c r="H635" s="1100"/>
      <c r="I635" s="1100"/>
      <c r="J635" s="1100"/>
      <c r="K635" s="1100"/>
      <c r="L635" s="1100"/>
      <c r="M635" s="1100"/>
      <c r="N635" s="1100"/>
      <c r="O635" s="1100"/>
      <c r="P635" s="1100"/>
    </row>
    <row r="636" spans="1:16">
      <c r="A636" s="1101" t="s">
        <v>33</v>
      </c>
      <c r="B636" s="1105" t="s">
        <v>1228</v>
      </c>
      <c r="C636" s="1100"/>
      <c r="D636" s="1100"/>
      <c r="E636" s="1100"/>
      <c r="F636" s="1100"/>
      <c r="G636" s="1100"/>
      <c r="H636" s="1100"/>
      <c r="I636" s="1100"/>
      <c r="J636" s="1100"/>
      <c r="K636" s="1100"/>
      <c r="L636" s="1100"/>
      <c r="M636" s="1100"/>
      <c r="N636" s="1100"/>
      <c r="O636" s="1100"/>
      <c r="P636" s="1100"/>
    </row>
    <row r="637" spans="1:16">
      <c r="A637" s="1101"/>
      <c r="B637" s="1105"/>
      <c r="C637" s="1100"/>
      <c r="D637" s="1100"/>
      <c r="E637" s="1100"/>
      <c r="F637" s="1100"/>
      <c r="G637" s="1100"/>
      <c r="H637" s="1100"/>
      <c r="I637" s="1100"/>
      <c r="J637" s="1100"/>
      <c r="K637" s="1100"/>
      <c r="L637" s="1100"/>
      <c r="M637" s="1100"/>
      <c r="N637" s="1100"/>
      <c r="O637" s="1100"/>
      <c r="P637" s="1100"/>
    </row>
    <row r="638" spans="1:16">
      <c r="A638" s="1106" t="s">
        <v>39</v>
      </c>
      <c r="B638" s="1107" t="s">
        <v>1200</v>
      </c>
      <c r="C638" s="1100"/>
      <c r="D638" s="1100"/>
      <c r="E638" s="1100"/>
      <c r="F638" s="1100"/>
      <c r="G638" s="1100"/>
      <c r="H638" s="1100"/>
      <c r="I638" s="1100"/>
      <c r="J638" s="1100"/>
      <c r="K638" s="1100"/>
      <c r="L638" s="1100"/>
      <c r="M638" s="1100"/>
      <c r="N638" s="1100"/>
      <c r="O638" s="1100"/>
      <c r="P638" s="1100"/>
    </row>
    <row r="639" spans="1:16">
      <c r="A639" s="1101" t="s">
        <v>15</v>
      </c>
      <c r="B639" s="1116" t="s">
        <v>2143</v>
      </c>
      <c r="C639" s="1123"/>
      <c r="D639" s="1100" t="s">
        <v>2074</v>
      </c>
      <c r="E639" s="1100"/>
      <c r="F639" s="1100"/>
      <c r="G639" s="1118"/>
      <c r="H639" s="1119"/>
      <c r="I639" s="1120" t="s">
        <v>2144</v>
      </c>
      <c r="J639" s="1121">
        <f>+'[3]ARR 26-27'!$E$34+'[3]ARR 26-27'!$F$34</f>
        <v>94.880400000000009</v>
      </c>
      <c r="K639" s="1100"/>
      <c r="L639" s="1121">
        <f>+'[3]ARR 26-27'!$E$36+'[3]ARR 26-27'!$F$36</f>
        <v>51.772853999999995</v>
      </c>
      <c r="M639" s="1100"/>
      <c r="N639" s="1121">
        <f>+'[3]ARR 26-27'!$E$37+'[3]ARR 26-27'!$F$37</f>
        <v>-0.51772854000000001</v>
      </c>
      <c r="O639" s="1122">
        <f>SUM(K639:N639)</f>
        <v>51.255125459999995</v>
      </c>
      <c r="P639" s="1122">
        <f>+O639/J639*10</f>
        <v>5.4020772952053306</v>
      </c>
    </row>
    <row r="640" spans="1:16">
      <c r="A640" s="1101"/>
      <c r="B640" s="1137"/>
      <c r="C640" s="1123"/>
      <c r="D640" s="1100"/>
      <c r="E640" s="1100"/>
      <c r="F640" s="1100"/>
      <c r="G640" s="1118"/>
      <c r="H640" s="1119"/>
      <c r="I640" s="1124"/>
      <c r="J640" s="1121"/>
      <c r="K640" s="1100"/>
      <c r="L640" s="1121"/>
      <c r="M640" s="1100"/>
      <c r="N640" s="1121"/>
      <c r="O640" s="1122"/>
      <c r="P640" s="1122"/>
    </row>
    <row r="641" spans="1:16">
      <c r="A641" s="1101"/>
      <c r="B641" s="1116"/>
      <c r="C641" s="1100"/>
      <c r="D641" s="1100"/>
      <c r="E641" s="1100"/>
      <c r="F641" s="1100"/>
      <c r="G641" s="1100"/>
      <c r="H641" s="1100"/>
      <c r="I641" s="1100"/>
      <c r="J641" s="1100"/>
      <c r="K641" s="1100"/>
      <c r="L641" s="1100"/>
      <c r="M641" s="1100"/>
      <c r="N641" s="1100"/>
      <c r="O641" s="1100"/>
      <c r="P641" s="1100"/>
    </row>
    <row r="642" spans="1:16">
      <c r="A642" s="1101"/>
      <c r="B642" s="1125" t="s">
        <v>1473</v>
      </c>
      <c r="C642" s="1126"/>
      <c r="D642" s="1126"/>
      <c r="E642" s="1126"/>
      <c r="F642" s="1126"/>
      <c r="G642" s="1126"/>
      <c r="H642" s="1126"/>
      <c r="I642" s="1127" t="s">
        <v>2120</v>
      </c>
      <c r="J642" s="1128">
        <f>SUM(J639:J641)</f>
        <v>94.880400000000009</v>
      </c>
      <c r="K642" s="1126"/>
      <c r="L642" s="1128">
        <f>SUM(L639:L641)</f>
        <v>51.772853999999995</v>
      </c>
      <c r="M642" s="1126"/>
      <c r="N642" s="1128">
        <f>SUM(N639:N641)</f>
        <v>-0.51772854000000001</v>
      </c>
      <c r="O642" s="1128">
        <f>SUM(O639:O641)</f>
        <v>51.255125459999995</v>
      </c>
      <c r="P642" s="1111">
        <f>+O642/J642*10</f>
        <v>5.4020772952053306</v>
      </c>
    </row>
    <row r="643" spans="1:16" hidden="1">
      <c r="A643" s="1101"/>
      <c r="B643" s="1105"/>
      <c r="C643" s="1100"/>
      <c r="D643" s="1100"/>
      <c r="E643" s="1100"/>
      <c r="F643" s="1100"/>
      <c r="G643" s="1100"/>
      <c r="H643" s="1100"/>
      <c r="I643" s="1100"/>
      <c r="J643" s="1100"/>
      <c r="K643" s="1100"/>
      <c r="L643" s="1100"/>
      <c r="M643" s="1100"/>
      <c r="N643" s="1100"/>
      <c r="O643" s="1100"/>
      <c r="P643" s="1100"/>
    </row>
    <row r="644" spans="1:16" hidden="1">
      <c r="A644" s="1101" t="s">
        <v>40</v>
      </c>
      <c r="B644" s="1105" t="s">
        <v>1474</v>
      </c>
      <c r="C644" s="1100"/>
      <c r="D644" s="1100"/>
      <c r="E644" s="1100"/>
      <c r="F644" s="1100"/>
      <c r="G644" s="1100"/>
      <c r="H644" s="1100"/>
      <c r="I644" s="1100"/>
      <c r="J644" s="1100"/>
      <c r="K644" s="1100"/>
      <c r="L644" s="1100"/>
      <c r="M644" s="1100"/>
      <c r="N644" s="1100"/>
      <c r="O644" s="1100"/>
      <c r="P644" s="1100"/>
    </row>
    <row r="645" spans="1:16" hidden="1">
      <c r="A645" s="1101"/>
      <c r="B645" s="1129" t="s">
        <v>1475</v>
      </c>
      <c r="C645" s="1100"/>
      <c r="D645" s="1100"/>
      <c r="E645" s="1100"/>
      <c r="F645" s="1100"/>
      <c r="G645" s="1100"/>
      <c r="H645" s="1100"/>
      <c r="I645" s="1100"/>
      <c r="J645" s="1100"/>
      <c r="K645" s="1100"/>
      <c r="L645" s="1100"/>
      <c r="M645" s="1100"/>
      <c r="N645" s="1100"/>
      <c r="O645" s="1100"/>
      <c r="P645" s="1100"/>
    </row>
    <row r="646" spans="1:16" hidden="1">
      <c r="A646" s="1101"/>
      <c r="B646" s="1105" t="s">
        <v>1476</v>
      </c>
      <c r="C646" s="1100"/>
      <c r="D646" s="1100"/>
      <c r="E646" s="1100"/>
      <c r="F646" s="1100"/>
      <c r="G646" s="1100"/>
      <c r="H646" s="1100"/>
      <c r="I646" s="1100"/>
      <c r="J646" s="1100"/>
      <c r="K646" s="1100"/>
      <c r="L646" s="1100"/>
      <c r="M646" s="1100"/>
      <c r="N646" s="1100"/>
      <c r="O646" s="1100"/>
      <c r="P646" s="1100"/>
    </row>
    <row r="647" spans="1:16" hidden="1">
      <c r="A647" s="1101"/>
      <c r="B647" s="1107" t="s">
        <v>1477</v>
      </c>
      <c r="C647" s="1100"/>
      <c r="D647" s="1100"/>
      <c r="E647" s="1100"/>
      <c r="F647" s="1100"/>
      <c r="G647" s="1100"/>
      <c r="H647" s="1100"/>
      <c r="I647" s="1100"/>
      <c r="J647" s="1100"/>
      <c r="K647" s="1100"/>
      <c r="L647" s="1100"/>
      <c r="M647" s="1100"/>
      <c r="N647" s="1100"/>
      <c r="O647" s="1100"/>
      <c r="P647" s="1100"/>
    </row>
    <row r="648" spans="1:16" hidden="1">
      <c r="A648" s="1101"/>
      <c r="B648" s="1105"/>
      <c r="C648" s="1100"/>
      <c r="D648" s="1100"/>
      <c r="E648" s="1100"/>
      <c r="F648" s="1100"/>
      <c r="G648" s="1100"/>
      <c r="H648" s="1100"/>
      <c r="I648" s="1100"/>
      <c r="J648" s="1100"/>
      <c r="K648" s="1100"/>
      <c r="L648" s="1100"/>
      <c r="M648" s="1100"/>
      <c r="N648" s="1100"/>
      <c r="O648" s="1100"/>
      <c r="P648" s="1100"/>
    </row>
    <row r="649" spans="1:16" hidden="1">
      <c r="A649" s="1101" t="s">
        <v>41</v>
      </c>
      <c r="B649" s="1105" t="s">
        <v>1356</v>
      </c>
      <c r="C649" s="1100"/>
      <c r="D649" s="1100"/>
      <c r="E649" s="1100"/>
      <c r="F649" s="1100"/>
      <c r="G649" s="1100"/>
      <c r="H649" s="1100"/>
      <c r="I649" s="1100"/>
      <c r="J649" s="1100"/>
      <c r="K649" s="1100"/>
      <c r="L649" s="1100"/>
      <c r="M649" s="1100"/>
      <c r="N649" s="1100"/>
      <c r="O649" s="1100"/>
      <c r="P649" s="1100"/>
    </row>
    <row r="650" spans="1:16" hidden="1">
      <c r="A650" s="1101"/>
      <c r="B650" s="1105"/>
      <c r="C650" s="1100"/>
      <c r="D650" s="1100"/>
      <c r="E650" s="1100"/>
      <c r="F650" s="1100"/>
      <c r="G650" s="1100"/>
      <c r="H650" s="1100"/>
      <c r="I650" s="1100"/>
      <c r="J650" s="1100"/>
      <c r="K650" s="1100"/>
      <c r="L650" s="1100"/>
      <c r="M650" s="1100"/>
      <c r="N650" s="1100"/>
      <c r="O650" s="1100"/>
      <c r="P650" s="1100"/>
    </row>
    <row r="651" spans="1:16" hidden="1">
      <c r="A651" s="1101">
        <v>1</v>
      </c>
      <c r="B651" s="1105" t="s">
        <v>1478</v>
      </c>
      <c r="C651" s="1100"/>
      <c r="D651" s="1100"/>
      <c r="E651" s="1100"/>
      <c r="F651" s="1100"/>
      <c r="G651" s="1100"/>
      <c r="H651" s="1100"/>
      <c r="I651" s="1100"/>
      <c r="J651" s="1100"/>
      <c r="K651" s="1100"/>
      <c r="L651" s="1100"/>
      <c r="M651" s="1100"/>
      <c r="N651" s="1100"/>
      <c r="O651" s="1100"/>
      <c r="P651" s="1100"/>
    </row>
    <row r="652" spans="1:16" hidden="1">
      <c r="A652" s="1101">
        <v>2</v>
      </c>
      <c r="B652" s="1105" t="s">
        <v>1479</v>
      </c>
      <c r="C652" s="1100"/>
      <c r="D652" s="1100"/>
      <c r="E652" s="1100"/>
      <c r="F652" s="1100"/>
      <c r="G652" s="1100"/>
      <c r="H652" s="1100"/>
      <c r="I652" s="1100"/>
      <c r="J652" s="1100"/>
      <c r="K652" s="1100"/>
      <c r="L652" s="1100"/>
      <c r="M652" s="1100"/>
      <c r="N652" s="1100"/>
      <c r="O652" s="1100"/>
      <c r="P652" s="1100"/>
    </row>
    <row r="653" spans="1:16" hidden="1">
      <c r="A653" s="1101">
        <v>3</v>
      </c>
      <c r="B653" s="1105"/>
      <c r="C653" s="1100"/>
      <c r="D653" s="1100"/>
      <c r="E653" s="1100"/>
      <c r="F653" s="1100"/>
      <c r="G653" s="1100"/>
      <c r="H653" s="1100"/>
      <c r="I653" s="1100"/>
      <c r="J653" s="1100"/>
      <c r="K653" s="1100"/>
      <c r="L653" s="1100"/>
      <c r="M653" s="1100"/>
      <c r="N653" s="1100"/>
      <c r="O653" s="1100"/>
      <c r="P653" s="1100"/>
    </row>
    <row r="654" spans="1:16" hidden="1">
      <c r="A654" s="1101">
        <v>4</v>
      </c>
      <c r="B654" s="1105"/>
      <c r="C654" s="1100"/>
      <c r="D654" s="1100"/>
      <c r="E654" s="1100"/>
      <c r="F654" s="1100"/>
      <c r="G654" s="1100"/>
      <c r="H654" s="1100"/>
      <c r="I654" s="1100"/>
      <c r="J654" s="1100"/>
      <c r="K654" s="1100"/>
      <c r="L654" s="1100"/>
      <c r="M654" s="1100"/>
      <c r="N654" s="1100"/>
      <c r="O654" s="1100"/>
      <c r="P654" s="1100"/>
    </row>
    <row r="655" spans="1:16" hidden="1">
      <c r="A655" s="1101">
        <v>5</v>
      </c>
      <c r="B655" s="1105"/>
      <c r="C655" s="1100"/>
      <c r="D655" s="1100"/>
      <c r="E655" s="1100"/>
      <c r="F655" s="1100"/>
      <c r="G655" s="1100"/>
      <c r="H655" s="1100"/>
      <c r="I655" s="1100"/>
      <c r="J655" s="1100"/>
      <c r="K655" s="1100"/>
      <c r="L655" s="1100"/>
      <c r="M655" s="1100"/>
      <c r="N655" s="1100"/>
      <c r="O655" s="1100"/>
      <c r="P655" s="1100"/>
    </row>
    <row r="656" spans="1:16" hidden="1">
      <c r="A656" s="1101">
        <v>6</v>
      </c>
      <c r="B656" s="1105"/>
      <c r="C656" s="1100"/>
      <c r="D656" s="1100"/>
      <c r="E656" s="1100"/>
      <c r="F656" s="1100"/>
      <c r="G656" s="1100"/>
      <c r="H656" s="1100"/>
      <c r="I656" s="1100"/>
      <c r="J656" s="1100"/>
      <c r="K656" s="1100"/>
      <c r="L656" s="1100"/>
      <c r="M656" s="1100"/>
      <c r="N656" s="1100"/>
      <c r="O656" s="1100"/>
      <c r="P656" s="1100"/>
    </row>
    <row r="657" spans="1:16" hidden="1">
      <c r="A657" s="1101">
        <v>7</v>
      </c>
      <c r="B657" s="1105"/>
      <c r="C657" s="1100"/>
      <c r="D657" s="1100"/>
      <c r="E657" s="1100"/>
      <c r="F657" s="1100"/>
      <c r="G657" s="1100"/>
      <c r="H657" s="1100"/>
      <c r="I657" s="1100"/>
      <c r="J657" s="1100"/>
      <c r="K657" s="1100"/>
      <c r="L657" s="1100"/>
      <c r="M657" s="1100"/>
      <c r="N657" s="1100"/>
      <c r="O657" s="1100"/>
      <c r="P657" s="1100"/>
    </row>
    <row r="658" spans="1:16" hidden="1">
      <c r="A658" s="1101"/>
      <c r="B658" s="1105"/>
      <c r="C658" s="1100"/>
      <c r="D658" s="1100"/>
      <c r="E658" s="1100"/>
      <c r="F658" s="1100"/>
      <c r="G658" s="1100"/>
      <c r="H658" s="1100"/>
      <c r="I658" s="1100"/>
      <c r="J658" s="1100"/>
      <c r="K658" s="1100"/>
      <c r="L658" s="1100"/>
      <c r="M658" s="1100"/>
      <c r="N658" s="1100"/>
      <c r="O658" s="1100"/>
      <c r="P658" s="1100"/>
    </row>
    <row r="659" spans="1:16" hidden="1">
      <c r="A659" s="1101"/>
      <c r="B659" s="1105"/>
      <c r="C659" s="1100"/>
      <c r="D659" s="1100"/>
      <c r="E659" s="1100"/>
      <c r="F659" s="1100"/>
      <c r="G659" s="1100"/>
      <c r="H659" s="1100"/>
      <c r="I659" s="1100"/>
      <c r="J659" s="1100"/>
      <c r="K659" s="1100"/>
      <c r="L659" s="1100"/>
      <c r="M659" s="1100"/>
      <c r="N659" s="1100"/>
      <c r="O659" s="1100"/>
      <c r="P659" s="1100"/>
    </row>
    <row r="660" spans="1:16" hidden="1">
      <c r="A660" s="1101" t="s">
        <v>90</v>
      </c>
      <c r="B660" s="1105" t="s">
        <v>1241</v>
      </c>
      <c r="C660" s="1100"/>
      <c r="D660" s="1100"/>
      <c r="E660" s="1100"/>
      <c r="F660" s="1100"/>
      <c r="G660" s="1100"/>
      <c r="H660" s="1100"/>
      <c r="I660" s="1100"/>
      <c r="J660" s="1100"/>
      <c r="K660" s="1100"/>
      <c r="L660" s="1100"/>
      <c r="M660" s="1100"/>
      <c r="N660" s="1100"/>
      <c r="O660" s="1100"/>
      <c r="P660" s="1100"/>
    </row>
    <row r="661" spans="1:16" hidden="1">
      <c r="A661" s="1101">
        <v>1</v>
      </c>
      <c r="B661" s="1105" t="s">
        <v>1480</v>
      </c>
      <c r="C661" s="1100"/>
      <c r="D661" s="1100"/>
      <c r="E661" s="1100"/>
      <c r="F661" s="1100"/>
      <c r="G661" s="1100"/>
      <c r="H661" s="1100"/>
      <c r="I661" s="1100"/>
      <c r="J661" s="1100"/>
      <c r="K661" s="1100"/>
      <c r="L661" s="1100"/>
      <c r="M661" s="1100"/>
      <c r="N661" s="1100"/>
      <c r="O661" s="1100"/>
      <c r="P661" s="1100"/>
    </row>
    <row r="662" spans="1:16" hidden="1">
      <c r="A662" s="1101">
        <v>2</v>
      </c>
      <c r="B662" s="1105" t="s">
        <v>1481</v>
      </c>
      <c r="C662" s="1100"/>
      <c r="D662" s="1100"/>
      <c r="E662" s="1100"/>
      <c r="F662" s="1100"/>
      <c r="G662" s="1100"/>
      <c r="H662" s="1100"/>
      <c r="I662" s="1100"/>
      <c r="J662" s="1100"/>
      <c r="K662" s="1100"/>
      <c r="L662" s="1100"/>
      <c r="M662" s="1100"/>
      <c r="N662" s="1100"/>
      <c r="O662" s="1100"/>
      <c r="P662" s="1100"/>
    </row>
    <row r="663" spans="1:16" hidden="1">
      <c r="A663" s="1101">
        <v>3</v>
      </c>
      <c r="B663" s="1105" t="s">
        <v>1482</v>
      </c>
      <c r="C663" s="1100"/>
      <c r="D663" s="1100"/>
      <c r="E663" s="1100"/>
      <c r="F663" s="1100"/>
      <c r="G663" s="1100"/>
      <c r="H663" s="1100"/>
      <c r="I663" s="1100"/>
      <c r="J663" s="1100"/>
      <c r="K663" s="1100"/>
      <c r="L663" s="1100"/>
      <c r="M663" s="1100"/>
      <c r="N663" s="1100"/>
      <c r="O663" s="1100"/>
      <c r="P663" s="1100"/>
    </row>
    <row r="664" spans="1:16" hidden="1">
      <c r="A664" s="1101">
        <v>4</v>
      </c>
      <c r="B664" s="1105" t="s">
        <v>1483</v>
      </c>
      <c r="C664" s="1100"/>
      <c r="D664" s="1100"/>
      <c r="E664" s="1100"/>
      <c r="F664" s="1100"/>
      <c r="G664" s="1100"/>
      <c r="H664" s="1100"/>
      <c r="I664" s="1100"/>
      <c r="J664" s="1100"/>
      <c r="K664" s="1100"/>
      <c r="L664" s="1100"/>
      <c r="M664" s="1100"/>
      <c r="N664" s="1100"/>
      <c r="O664" s="1100"/>
      <c r="P664" s="1100"/>
    </row>
    <row r="665" spans="1:16" hidden="1">
      <c r="A665" s="1101">
        <v>5</v>
      </c>
      <c r="B665" s="1105" t="s">
        <v>1484</v>
      </c>
      <c r="C665" s="1100"/>
      <c r="D665" s="1100"/>
      <c r="E665" s="1100"/>
      <c r="F665" s="1100"/>
      <c r="G665" s="1100"/>
      <c r="H665" s="1100"/>
      <c r="I665" s="1100"/>
      <c r="J665" s="1100"/>
      <c r="K665" s="1100"/>
      <c r="L665" s="1100"/>
      <c r="M665" s="1100"/>
      <c r="N665" s="1100"/>
      <c r="O665" s="1100"/>
      <c r="P665" s="1100"/>
    </row>
    <row r="666" spans="1:16" hidden="1">
      <c r="A666" s="1101">
        <v>6</v>
      </c>
      <c r="B666" s="1105" t="s">
        <v>1485</v>
      </c>
      <c r="C666" s="1100"/>
      <c r="D666" s="1100"/>
      <c r="E666" s="1100"/>
      <c r="F666" s="1100"/>
      <c r="G666" s="1100"/>
      <c r="H666" s="1100"/>
      <c r="I666" s="1100"/>
      <c r="J666" s="1100"/>
      <c r="K666" s="1100"/>
      <c r="L666" s="1100"/>
      <c r="M666" s="1100"/>
      <c r="N666" s="1100"/>
      <c r="O666" s="1100"/>
      <c r="P666" s="1100"/>
    </row>
    <row r="667" spans="1:16" hidden="1">
      <c r="A667" s="1101">
        <v>7</v>
      </c>
      <c r="B667" s="1105" t="s">
        <v>1486</v>
      </c>
      <c r="C667" s="1100"/>
      <c r="D667" s="1100"/>
      <c r="E667" s="1100"/>
      <c r="F667" s="1100"/>
      <c r="G667" s="1100"/>
      <c r="H667" s="1100"/>
      <c r="I667" s="1100"/>
      <c r="J667" s="1100"/>
      <c r="K667" s="1100"/>
      <c r="L667" s="1100"/>
      <c r="M667" s="1100"/>
      <c r="N667" s="1100"/>
      <c r="O667" s="1100"/>
      <c r="P667" s="1100"/>
    </row>
    <row r="668" spans="1:16" hidden="1">
      <c r="A668" s="1106"/>
      <c r="B668" s="1107" t="s">
        <v>1487</v>
      </c>
      <c r="C668" s="1100"/>
      <c r="D668" s="1100"/>
      <c r="E668" s="1100"/>
      <c r="F668" s="1100"/>
      <c r="G668" s="1100"/>
      <c r="H668" s="1100"/>
      <c r="I668" s="1100"/>
      <c r="J668" s="1100"/>
      <c r="K668" s="1100"/>
      <c r="L668" s="1100"/>
      <c r="M668" s="1100"/>
      <c r="N668" s="1100"/>
      <c r="O668" s="1100"/>
      <c r="P668" s="1100"/>
    </row>
    <row r="669" spans="1:16" hidden="1">
      <c r="A669" s="1101"/>
      <c r="B669" s="1105"/>
      <c r="C669" s="1100"/>
      <c r="D669" s="1100"/>
      <c r="E669" s="1100"/>
      <c r="F669" s="1100"/>
      <c r="G669" s="1100"/>
      <c r="H669" s="1100"/>
      <c r="I669" s="1100"/>
      <c r="J669" s="1100"/>
      <c r="K669" s="1100"/>
      <c r="L669" s="1100"/>
      <c r="M669" s="1100"/>
      <c r="N669" s="1100"/>
      <c r="O669" s="1100"/>
      <c r="P669" s="1100"/>
    </row>
    <row r="670" spans="1:16" hidden="1">
      <c r="A670" s="1101" t="s">
        <v>91</v>
      </c>
      <c r="B670" s="1105" t="s">
        <v>1500</v>
      </c>
      <c r="C670" s="1100"/>
      <c r="D670" s="1100"/>
      <c r="E670" s="1100"/>
      <c r="F670" s="1100"/>
      <c r="G670" s="1100"/>
      <c r="H670" s="1100"/>
      <c r="I670" s="1100"/>
      <c r="J670" s="1100"/>
      <c r="K670" s="1100"/>
      <c r="L670" s="1100"/>
      <c r="M670" s="1100"/>
      <c r="N670" s="1100"/>
      <c r="O670" s="1100"/>
      <c r="P670" s="1100"/>
    </row>
    <row r="671" spans="1:16" hidden="1">
      <c r="A671" s="1101"/>
      <c r="B671" s="1105" t="s">
        <v>1500</v>
      </c>
      <c r="C671" s="1100"/>
      <c r="D671" s="1100"/>
      <c r="E671" s="1100"/>
      <c r="F671" s="1100"/>
      <c r="G671" s="1100"/>
      <c r="H671" s="1100"/>
      <c r="I671" s="1100"/>
      <c r="J671" s="1100"/>
      <c r="K671" s="1100"/>
      <c r="L671" s="1100"/>
      <c r="M671" s="1100"/>
      <c r="N671" s="1100"/>
      <c r="O671" s="1100"/>
      <c r="P671" s="1100"/>
    </row>
    <row r="672" spans="1:16" hidden="1">
      <c r="A672" s="1101"/>
      <c r="B672" s="1105" t="s">
        <v>2008</v>
      </c>
      <c r="C672" s="1100"/>
      <c r="D672" s="1100"/>
      <c r="E672" s="1100"/>
      <c r="F672" s="1100"/>
      <c r="G672" s="1100"/>
      <c r="H672" s="1100"/>
      <c r="I672" s="1100"/>
      <c r="J672" s="1100"/>
      <c r="K672" s="1100"/>
      <c r="L672" s="1100"/>
      <c r="M672" s="1100"/>
      <c r="N672" s="1100"/>
      <c r="O672" s="1100"/>
      <c r="P672" s="1100"/>
    </row>
    <row r="673" spans="1:16" hidden="1">
      <c r="A673" s="1101"/>
      <c r="B673" s="1105" t="s">
        <v>2009</v>
      </c>
      <c r="C673" s="1100"/>
      <c r="D673" s="1100"/>
      <c r="E673" s="1100"/>
      <c r="F673" s="1100"/>
      <c r="G673" s="1100"/>
      <c r="H673" s="1100"/>
      <c r="I673" s="1100"/>
      <c r="J673" s="1100"/>
      <c r="K673" s="1100"/>
      <c r="L673" s="1100"/>
      <c r="M673" s="1100"/>
      <c r="N673" s="1100"/>
      <c r="O673" s="1100"/>
      <c r="P673" s="1100"/>
    </row>
    <row r="674" spans="1:16" hidden="1">
      <c r="A674" s="1101"/>
      <c r="B674" s="1105"/>
      <c r="C674" s="1100"/>
      <c r="D674" s="1100"/>
      <c r="E674" s="1100"/>
      <c r="F674" s="1100"/>
      <c r="G674" s="1100"/>
      <c r="H674" s="1100"/>
      <c r="I674" s="1100"/>
      <c r="J674" s="1100"/>
      <c r="K674" s="1100"/>
      <c r="L674" s="1100"/>
      <c r="M674" s="1100"/>
      <c r="N674" s="1100"/>
      <c r="O674" s="1100"/>
      <c r="P674" s="1100"/>
    </row>
    <row r="675" spans="1:16" hidden="1">
      <c r="A675" s="1101" t="s">
        <v>92</v>
      </c>
      <c r="B675" s="1105" t="s">
        <v>1488</v>
      </c>
      <c r="C675" s="1100"/>
      <c r="D675" s="1100"/>
      <c r="E675" s="1100"/>
      <c r="F675" s="1100"/>
      <c r="G675" s="1100"/>
      <c r="H675" s="1100"/>
      <c r="I675" s="1100"/>
      <c r="J675" s="1100"/>
      <c r="K675" s="1100"/>
      <c r="L675" s="1100"/>
      <c r="M675" s="1100"/>
      <c r="N675" s="1100"/>
      <c r="O675" s="1100"/>
      <c r="P675" s="1100"/>
    </row>
    <row r="676" spans="1:16" hidden="1">
      <c r="A676" s="1101" t="s">
        <v>155</v>
      </c>
      <c r="B676" s="1105" t="s">
        <v>1201</v>
      </c>
      <c r="C676" s="1100"/>
      <c r="D676" s="1100"/>
      <c r="E676" s="1100"/>
      <c r="F676" s="1100"/>
      <c r="G676" s="1100"/>
      <c r="H676" s="1100"/>
      <c r="I676" s="1100"/>
      <c r="J676" s="1100"/>
      <c r="K676" s="1100"/>
      <c r="L676" s="1100"/>
      <c r="M676" s="1100"/>
      <c r="N676" s="1100"/>
      <c r="O676" s="1100"/>
      <c r="P676" s="1100"/>
    </row>
    <row r="677" spans="1:16" hidden="1">
      <c r="A677" s="1101" t="s">
        <v>316</v>
      </c>
      <c r="B677" s="1105" t="s">
        <v>1242</v>
      </c>
      <c r="C677" s="1100"/>
      <c r="D677" s="1100"/>
      <c r="E677" s="1100"/>
      <c r="F677" s="1100"/>
      <c r="G677" s="1100"/>
      <c r="H677" s="1100"/>
      <c r="I677" s="1100"/>
      <c r="J677" s="1100"/>
      <c r="K677" s="1100"/>
      <c r="L677" s="1100"/>
      <c r="M677" s="1100"/>
      <c r="N677" s="1100"/>
      <c r="O677" s="1100"/>
      <c r="P677" s="1100"/>
    </row>
    <row r="678" spans="1:16">
      <c r="A678" s="1130" t="s">
        <v>92</v>
      </c>
      <c r="B678" s="1131" t="s">
        <v>2010</v>
      </c>
      <c r="C678" s="1100"/>
      <c r="D678" s="1100"/>
      <c r="E678" s="1100"/>
      <c r="F678" s="1100"/>
      <c r="G678" s="1100"/>
      <c r="H678" s="1100"/>
      <c r="I678" s="1100"/>
      <c r="J678" s="1100"/>
      <c r="K678" s="1100"/>
      <c r="L678" s="1100"/>
      <c r="M678" s="1100"/>
      <c r="N678" s="1100"/>
      <c r="O678" s="1100"/>
      <c r="P678" s="1100"/>
    </row>
    <row r="679" spans="1:16">
      <c r="A679" s="1130"/>
      <c r="B679" s="1131" t="s">
        <v>2011</v>
      </c>
      <c r="C679" s="1100"/>
      <c r="D679" s="1100"/>
      <c r="E679" s="1100"/>
      <c r="F679" s="1100"/>
      <c r="G679" s="1100"/>
      <c r="H679" s="1100"/>
      <c r="I679" s="1100"/>
      <c r="J679" s="1100"/>
      <c r="K679" s="1100"/>
      <c r="L679" s="1100"/>
      <c r="M679" s="1100"/>
      <c r="N679" s="1100"/>
      <c r="O679" s="1100"/>
      <c r="P679" s="1100"/>
    </row>
    <row r="680" spans="1:16">
      <c r="A680" s="1130" t="s">
        <v>155</v>
      </c>
      <c r="B680" s="1131" t="s">
        <v>2012</v>
      </c>
      <c r="C680" s="1100"/>
      <c r="D680" s="1100"/>
      <c r="E680" s="1100"/>
      <c r="F680" s="1100"/>
      <c r="G680" s="1100"/>
      <c r="H680" s="1100"/>
      <c r="I680" s="1100"/>
      <c r="J680" s="1100"/>
      <c r="K680" s="1100"/>
      <c r="L680" s="1100"/>
      <c r="M680" s="1100"/>
      <c r="N680" s="1132">
        <f>+'[3]ARR 26-27'!$E$44</f>
        <v>0.79</v>
      </c>
      <c r="O680" s="1121">
        <f>+N680</f>
        <v>0.79</v>
      </c>
      <c r="P680" s="1100"/>
    </row>
    <row r="681" spans="1:16" hidden="1">
      <c r="A681" s="1130" t="s">
        <v>316</v>
      </c>
      <c r="B681" s="1131" t="s">
        <v>2013</v>
      </c>
      <c r="C681" s="1100"/>
      <c r="D681" s="1100"/>
      <c r="E681" s="1100"/>
      <c r="F681" s="1100"/>
      <c r="G681" s="1100"/>
      <c r="H681" s="1100"/>
      <c r="I681" s="1100"/>
      <c r="J681" s="1100"/>
      <c r="K681" s="1100"/>
      <c r="L681" s="1100"/>
      <c r="M681" s="1100"/>
      <c r="N681" s="1100"/>
      <c r="O681" s="1100"/>
      <c r="P681" s="1100"/>
    </row>
    <row r="682" spans="1:16" hidden="1">
      <c r="A682" s="1130"/>
      <c r="B682" s="1131" t="s">
        <v>2014</v>
      </c>
      <c r="C682" s="1100"/>
      <c r="D682" s="1100"/>
      <c r="E682" s="1100"/>
      <c r="F682" s="1100"/>
      <c r="G682" s="1100"/>
      <c r="H682" s="1100"/>
      <c r="I682" s="1100"/>
      <c r="J682" s="1100"/>
      <c r="K682" s="1100"/>
      <c r="L682" s="1100"/>
      <c r="M682" s="1100"/>
      <c r="N682" s="1100"/>
      <c r="O682" s="1100"/>
      <c r="P682" s="1100"/>
    </row>
    <row r="683" spans="1:16" hidden="1">
      <c r="A683" s="1130"/>
      <c r="B683" s="1131" t="s">
        <v>2015</v>
      </c>
      <c r="C683" s="1100"/>
      <c r="D683" s="1100"/>
      <c r="E683" s="1100"/>
      <c r="F683" s="1100"/>
      <c r="G683" s="1100"/>
      <c r="H683" s="1100"/>
      <c r="I683" s="1100"/>
      <c r="J683" s="1100"/>
      <c r="K683" s="1100"/>
      <c r="L683" s="1100"/>
      <c r="M683" s="1100"/>
      <c r="N683" s="1100"/>
      <c r="O683" s="1100"/>
      <c r="P683" s="1100"/>
    </row>
    <row r="684" spans="1:16" hidden="1">
      <c r="A684" s="1130"/>
      <c r="B684" s="1131" t="s">
        <v>2016</v>
      </c>
      <c r="C684" s="1100"/>
      <c r="D684" s="1100"/>
      <c r="E684" s="1100"/>
      <c r="F684" s="1100"/>
      <c r="G684" s="1100"/>
      <c r="H684" s="1100"/>
      <c r="I684" s="1100"/>
      <c r="J684" s="1100"/>
      <c r="K684" s="1100"/>
      <c r="L684" s="1100"/>
      <c r="M684" s="1100"/>
      <c r="N684" s="1100"/>
      <c r="O684" s="1100"/>
      <c r="P684" s="1100"/>
    </row>
    <row r="685" spans="1:16" hidden="1">
      <c r="A685" s="1130"/>
      <c r="B685" s="1131" t="s">
        <v>2017</v>
      </c>
      <c r="C685" s="1100"/>
      <c r="D685" s="1100"/>
      <c r="E685" s="1100"/>
      <c r="F685" s="1100"/>
      <c r="G685" s="1100"/>
      <c r="H685" s="1100"/>
      <c r="I685" s="1100"/>
      <c r="J685" s="1100"/>
      <c r="K685" s="1100"/>
      <c r="L685" s="1100"/>
      <c r="M685" s="1100"/>
      <c r="N685" s="1100"/>
      <c r="O685" s="1100"/>
      <c r="P685" s="1100"/>
    </row>
    <row r="686" spans="1:16" hidden="1">
      <c r="A686" s="1130"/>
      <c r="B686" s="1131" t="s">
        <v>2018</v>
      </c>
      <c r="C686" s="1100"/>
      <c r="D686" s="1100"/>
      <c r="E686" s="1100"/>
      <c r="F686" s="1100"/>
      <c r="G686" s="1100"/>
      <c r="H686" s="1100"/>
      <c r="I686" s="1100"/>
      <c r="J686" s="1100"/>
      <c r="K686" s="1100"/>
      <c r="L686" s="1100"/>
      <c r="M686" s="1100"/>
      <c r="N686" s="1100"/>
      <c r="O686" s="1100"/>
      <c r="P686" s="1100"/>
    </row>
    <row r="687" spans="1:16" hidden="1">
      <c r="A687" s="1130"/>
      <c r="B687" s="1131" t="s">
        <v>2019</v>
      </c>
      <c r="C687" s="1100"/>
      <c r="D687" s="1100"/>
      <c r="E687" s="1100"/>
      <c r="F687" s="1100"/>
      <c r="G687" s="1100"/>
      <c r="H687" s="1100"/>
      <c r="I687" s="1100"/>
      <c r="J687" s="1100"/>
      <c r="K687" s="1100"/>
      <c r="L687" s="1100"/>
      <c r="M687" s="1100"/>
      <c r="N687" s="1100"/>
      <c r="O687" s="1100"/>
      <c r="P687" s="1100"/>
    </row>
    <row r="688" spans="1:16">
      <c r="A688" s="1130"/>
      <c r="B688" s="1131" t="s">
        <v>2020</v>
      </c>
      <c r="C688" s="1100"/>
      <c r="D688" s="1100"/>
      <c r="E688" s="1100"/>
      <c r="F688" s="1100"/>
      <c r="G688" s="1100"/>
      <c r="H688" s="1100"/>
      <c r="I688" s="1100"/>
      <c r="J688" s="1100"/>
      <c r="K688" s="1100"/>
      <c r="L688" s="1100"/>
      <c r="M688" s="1100"/>
      <c r="N688" s="1121"/>
      <c r="O688" s="1121"/>
      <c r="P688" s="1100"/>
    </row>
    <row r="689" spans="1:16" hidden="1">
      <c r="A689" s="1130"/>
      <c r="B689" s="1131" t="s">
        <v>2021</v>
      </c>
      <c r="C689" s="1100"/>
      <c r="D689" s="1100"/>
      <c r="E689" s="1100"/>
      <c r="F689" s="1100"/>
      <c r="G689" s="1100"/>
      <c r="H689" s="1100"/>
      <c r="I689" s="1100"/>
      <c r="J689" s="1100"/>
      <c r="K689" s="1100"/>
      <c r="L689" s="1100"/>
      <c r="M689" s="1100"/>
      <c r="N689" s="1100"/>
      <c r="O689" s="1100"/>
      <c r="P689" s="1100"/>
    </row>
    <row r="690" spans="1:16">
      <c r="A690" s="1130" t="s">
        <v>317</v>
      </c>
      <c r="B690" s="1131" t="s">
        <v>1489</v>
      </c>
      <c r="C690" s="1100"/>
      <c r="D690" s="1100"/>
      <c r="E690" s="1100"/>
      <c r="F690" s="1100"/>
      <c r="G690" s="1100"/>
      <c r="H690" s="1100"/>
      <c r="I690" s="1100"/>
      <c r="J690" s="1100"/>
      <c r="K690" s="1100"/>
      <c r="L690" s="1100"/>
      <c r="M690" s="1100"/>
      <c r="N690" s="1100"/>
      <c r="O690" s="1100"/>
      <c r="P690" s="1100"/>
    </row>
    <row r="691" spans="1:16" hidden="1">
      <c r="A691" s="1130" t="s">
        <v>1008</v>
      </c>
      <c r="B691" s="1131" t="s">
        <v>1490</v>
      </c>
      <c r="C691" s="1100"/>
      <c r="D691" s="1100"/>
      <c r="E691" s="1100"/>
      <c r="F691" s="1100"/>
      <c r="G691" s="1100"/>
      <c r="H691" s="1100"/>
      <c r="I691" s="1100"/>
      <c r="J691" s="1100"/>
      <c r="K691" s="1100"/>
      <c r="L691" s="1100"/>
      <c r="M691" s="1100"/>
      <c r="N691" s="1100"/>
      <c r="O691" s="1100"/>
      <c r="P691" s="1100"/>
    </row>
    <row r="692" spans="1:16">
      <c r="A692" s="1101" t="s">
        <v>1258</v>
      </c>
      <c r="B692" s="1105" t="s">
        <v>1491</v>
      </c>
      <c r="C692" s="1100"/>
      <c r="D692" s="1100"/>
      <c r="E692" s="1100"/>
      <c r="F692" s="1100"/>
      <c r="G692" s="1100"/>
      <c r="H692" s="1100"/>
      <c r="I692" s="1100"/>
      <c r="J692" s="1100"/>
      <c r="K692" s="1100"/>
      <c r="L692" s="1100"/>
      <c r="M692" s="1100"/>
      <c r="N692" s="1100"/>
      <c r="O692" s="1100"/>
      <c r="P692" s="1100"/>
    </row>
    <row r="693" spans="1:16">
      <c r="A693" s="1101"/>
      <c r="B693" s="1107" t="s">
        <v>1499</v>
      </c>
      <c r="C693" s="1100"/>
      <c r="D693" s="1100"/>
      <c r="E693" s="1100"/>
      <c r="F693" s="1100"/>
      <c r="G693" s="1100"/>
      <c r="H693" s="1100"/>
      <c r="I693" s="1100"/>
      <c r="J693" s="1133">
        <f>SUM(J644:J692)</f>
        <v>0</v>
      </c>
      <c r="K693" s="1133">
        <f t="shared" ref="K693:O693" si="4">SUM(K644:K692)</f>
        <v>0</v>
      </c>
      <c r="L693" s="1133">
        <f t="shared" si="4"/>
        <v>0</v>
      </c>
      <c r="M693" s="1133">
        <f t="shared" si="4"/>
        <v>0</v>
      </c>
      <c r="N693" s="1133">
        <f t="shared" si="4"/>
        <v>0.79</v>
      </c>
      <c r="O693" s="1133">
        <f t="shared" si="4"/>
        <v>0.79</v>
      </c>
      <c r="P693" s="1133">
        <v>0</v>
      </c>
    </row>
    <row r="694" spans="1:16">
      <c r="A694" s="657"/>
      <c r="B694" s="656" t="s">
        <v>1492</v>
      </c>
      <c r="C694" s="1100"/>
      <c r="D694" s="1100"/>
      <c r="E694" s="1100"/>
      <c r="F694" s="1100"/>
      <c r="G694" s="1100"/>
      <c r="H694" s="1100"/>
      <c r="I694" s="1100"/>
      <c r="J694" s="1100"/>
      <c r="K694" s="1100"/>
      <c r="L694" s="1100"/>
      <c r="M694" s="1100"/>
      <c r="N694" s="1100"/>
      <c r="O694" s="1100"/>
      <c r="P694" s="1100"/>
    </row>
    <row r="695" spans="1:16">
      <c r="A695" s="657">
        <v>1</v>
      </c>
      <c r="B695" s="656" t="s">
        <v>1493</v>
      </c>
      <c r="C695" s="1100"/>
      <c r="D695" s="1100"/>
      <c r="E695" s="1100"/>
      <c r="F695" s="1100"/>
      <c r="G695" s="1100"/>
      <c r="H695" s="1100"/>
      <c r="I695" s="1100"/>
      <c r="J695" s="1121"/>
      <c r="K695" s="1100"/>
      <c r="L695" s="1121"/>
      <c r="M695" s="1100"/>
      <c r="N695" s="1121"/>
      <c r="O695" s="1122">
        <f>SUM(K695:N695)</f>
        <v>0</v>
      </c>
      <c r="P695" s="1122"/>
    </row>
    <row r="696" spans="1:16">
      <c r="A696" s="657">
        <v>2</v>
      </c>
      <c r="B696" s="656" t="s">
        <v>1489</v>
      </c>
      <c r="C696" s="1100"/>
      <c r="D696" s="1100"/>
      <c r="E696" s="1100"/>
      <c r="F696" s="1100"/>
      <c r="G696" s="1100"/>
      <c r="H696" s="1100"/>
      <c r="I696" s="1100"/>
      <c r="J696" s="1100"/>
      <c r="K696" s="1100"/>
      <c r="L696" s="1100"/>
      <c r="M696" s="1100"/>
      <c r="N696" s="1100"/>
      <c r="O696" s="1100"/>
      <c r="P696" s="1100"/>
    </row>
    <row r="697" spans="1:16">
      <c r="A697" s="657">
        <v>3</v>
      </c>
      <c r="B697" s="656" t="s">
        <v>1494</v>
      </c>
      <c r="C697" s="1100"/>
      <c r="D697" s="1100"/>
      <c r="E697" s="1100"/>
      <c r="F697" s="1100"/>
      <c r="G697" s="1100"/>
      <c r="H697" s="1100"/>
      <c r="I697" s="1100"/>
      <c r="J697" s="1100"/>
      <c r="K697" s="1100"/>
      <c r="L697" s="1100"/>
      <c r="M697" s="1100"/>
      <c r="N697" s="1100"/>
      <c r="O697" s="1100"/>
      <c r="P697" s="1100"/>
    </row>
    <row r="698" spans="1:16">
      <c r="A698" s="657">
        <v>4</v>
      </c>
      <c r="B698" s="656" t="s">
        <v>1495</v>
      </c>
      <c r="C698" s="1100"/>
      <c r="D698" s="1100"/>
      <c r="E698" s="1100"/>
      <c r="F698" s="1100"/>
      <c r="G698" s="1100"/>
      <c r="H698" s="1100"/>
      <c r="I698" s="1100"/>
      <c r="J698" s="1100"/>
      <c r="K698" s="1100"/>
      <c r="L698" s="1100"/>
      <c r="M698" s="1100"/>
      <c r="N698" s="1100"/>
      <c r="O698" s="1100"/>
      <c r="P698" s="1100"/>
    </row>
    <row r="699" spans="1:16">
      <c r="A699" s="657">
        <v>5</v>
      </c>
      <c r="B699" s="656" t="s">
        <v>1496</v>
      </c>
      <c r="C699" s="1100"/>
      <c r="D699" s="1100"/>
      <c r="E699" s="1100"/>
      <c r="F699" s="1100"/>
      <c r="G699" s="1100"/>
      <c r="H699" s="1100"/>
      <c r="I699" s="1100"/>
      <c r="J699" s="1121">
        <f>+'[3]ARR 26-27'!$G$34</f>
        <v>10.468961695396974</v>
      </c>
      <c r="K699" s="1100"/>
      <c r="L699" s="1121">
        <f>+'[3]ARR 26-27'!$G$36</f>
        <v>6.2290322087611996</v>
      </c>
      <c r="M699" s="1100"/>
      <c r="N699" s="1121"/>
      <c r="O699" s="1122">
        <f>SUM(K699:N699)</f>
        <v>6.2290322087611996</v>
      </c>
      <c r="P699" s="1122">
        <f>+O699/J699*10</f>
        <v>5.9499999999999993</v>
      </c>
    </row>
    <row r="700" spans="1:16">
      <c r="A700" s="657">
        <v>6</v>
      </c>
      <c r="B700" s="656" t="s">
        <v>1497</v>
      </c>
      <c r="C700" s="1100"/>
      <c r="D700" s="1100"/>
      <c r="E700" s="1100"/>
      <c r="F700" s="1100"/>
      <c r="G700" s="1100"/>
      <c r="H700" s="1100"/>
      <c r="I700" s="1100"/>
      <c r="J700" s="1132"/>
      <c r="K700" s="1100"/>
      <c r="L700" s="1121"/>
      <c r="M700" s="1100"/>
      <c r="N700" s="1100"/>
      <c r="O700" s="1122"/>
      <c r="P700" s="1122"/>
    </row>
    <row r="701" spans="1:16">
      <c r="A701" s="657">
        <v>7</v>
      </c>
      <c r="B701" s="656" t="s">
        <v>1498</v>
      </c>
      <c r="C701" s="1100"/>
      <c r="D701" s="1100"/>
      <c r="E701" s="1100"/>
      <c r="F701" s="1100"/>
      <c r="G701" s="1100"/>
      <c r="H701" s="1100"/>
      <c r="I701" s="1100"/>
      <c r="J701" s="1100"/>
      <c r="K701" s="1100"/>
      <c r="L701" s="1100"/>
      <c r="M701" s="1100"/>
      <c r="N701" s="1100"/>
      <c r="O701" s="1100"/>
      <c r="P701" s="1100"/>
    </row>
    <row r="702" spans="1:16">
      <c r="A702" s="657"/>
      <c r="B702" s="656" t="s">
        <v>1499</v>
      </c>
      <c r="C702" s="1100"/>
      <c r="D702" s="1100"/>
      <c r="E702" s="1100"/>
      <c r="F702" s="1100"/>
      <c r="G702" s="1100"/>
      <c r="H702" s="1100"/>
      <c r="I702" s="1100"/>
      <c r="J702" s="1133">
        <f>SUM(J694:J701)</f>
        <v>10.468961695396974</v>
      </c>
      <c r="K702" s="1100"/>
      <c r="L702" s="1133">
        <f>SUM(L694:L701)</f>
        <v>6.2290322087611996</v>
      </c>
      <c r="M702" s="1100"/>
      <c r="N702" s="1133">
        <f>SUM(N694:N701)</f>
        <v>0</v>
      </c>
      <c r="O702" s="1133">
        <f>SUM(O694:O701)</f>
        <v>6.2290322087611996</v>
      </c>
      <c r="P702" s="1133">
        <f>+O702/J702*10</f>
        <v>5.9499999999999993</v>
      </c>
    </row>
    <row r="703" spans="1:16">
      <c r="A703" s="1134"/>
      <c r="B703" s="1105" t="s">
        <v>603</v>
      </c>
      <c r="C703" s="1100"/>
      <c r="D703" s="1100"/>
      <c r="E703" s="1100"/>
      <c r="F703" s="1100"/>
      <c r="G703" s="1100"/>
      <c r="H703" s="1100"/>
      <c r="I703" s="1100"/>
      <c r="J703" s="1100"/>
      <c r="K703" s="1100"/>
      <c r="L703" s="1100"/>
      <c r="M703" s="1100"/>
      <c r="N703" s="1100"/>
      <c r="O703" s="1100"/>
      <c r="P703" s="1100"/>
    </row>
    <row r="704" spans="1:16">
      <c r="A704" s="1101"/>
      <c r="B704" s="1105" t="s">
        <v>1353</v>
      </c>
      <c r="C704" s="1100"/>
      <c r="D704" s="1100"/>
      <c r="E704" s="1100"/>
      <c r="F704" s="1100"/>
      <c r="G704" s="1100"/>
      <c r="H704" s="1100"/>
      <c r="I704" s="1100"/>
      <c r="J704" s="1100"/>
      <c r="K704" s="1100"/>
      <c r="L704" s="1100"/>
      <c r="M704" s="1100"/>
      <c r="N704" s="1100"/>
      <c r="O704" s="1100"/>
      <c r="P704" s="1100"/>
    </row>
    <row r="705" spans="1:16">
      <c r="A705" s="1101"/>
      <c r="B705" s="1105" t="s">
        <v>1354</v>
      </c>
      <c r="C705" s="1100"/>
      <c r="D705" s="1100"/>
      <c r="E705" s="1100"/>
      <c r="F705" s="1100"/>
      <c r="G705" s="1100"/>
      <c r="H705" s="1100"/>
      <c r="I705" s="1100"/>
      <c r="J705" s="1100"/>
      <c r="K705" s="1100"/>
      <c r="L705" s="1100"/>
      <c r="M705" s="1100"/>
      <c r="N705" s="1100"/>
      <c r="O705" s="1100"/>
      <c r="P705" s="1100"/>
    </row>
    <row r="706" spans="1:16">
      <c r="A706" s="1101"/>
      <c r="B706" s="1107" t="s">
        <v>79</v>
      </c>
      <c r="C706" s="1100"/>
      <c r="D706" s="1100"/>
      <c r="E706" s="1100"/>
      <c r="F706" s="1100"/>
      <c r="G706" s="1100"/>
      <c r="H706" s="1100"/>
      <c r="I706" s="1100"/>
      <c r="J706" s="1135">
        <f>+J702+J693+J642+J636+J604+J601+J595+J587+J580+J564+J555+J513+J500+J483+J481</f>
        <v>105.34936169539698</v>
      </c>
      <c r="K706" s="1100"/>
      <c r="L706" s="1135">
        <f>+L702+L693+L642+L636+L604+L601+L595+L587+L580+L564+L555+L513+L500+L483+L481</f>
        <v>58.001886208761192</v>
      </c>
      <c r="M706" s="1100"/>
      <c r="N706" s="1135">
        <f>+N702+N693+N642+N636+N604+N601+N595+N587+N580+N564+N555+N513+N500+N483+N481</f>
        <v>0.27227146000000002</v>
      </c>
      <c r="O706" s="1135">
        <f>+O702+O693+O642+O636+O604+O601+O595+O587+O580+O564+O555+O513+O500+O483+O481</f>
        <v>58.274157668761191</v>
      </c>
      <c r="P706" s="1133">
        <f>+O706/J706*10</f>
        <v>5.5315150211591035</v>
      </c>
    </row>
  </sheetData>
  <mergeCells count="13">
    <mergeCell ref="A242:A245"/>
    <mergeCell ref="B242:B245"/>
    <mergeCell ref="C242:P244"/>
    <mergeCell ref="A475:A478"/>
    <mergeCell ref="B475:B478"/>
    <mergeCell ref="C475:P477"/>
    <mergeCell ref="A238:P238"/>
    <mergeCell ref="A239:P239"/>
    <mergeCell ref="A240:P240"/>
    <mergeCell ref="A1:B1"/>
    <mergeCell ref="A5:A8"/>
    <mergeCell ref="B5:B8"/>
    <mergeCell ref="C5:P7"/>
  </mergeCells>
  <printOptions horizontalCentered="1"/>
  <pageMargins left="0.51181102362204722" right="0.51181102362204722" top="0.55118110236220474" bottom="0.55118110236220474" header="0.31496062992125984" footer="0.31496062992125984"/>
  <pageSetup paperSize="5" scale="4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90DE5-CB94-40D6-87F7-5B879B6858F4}">
  <sheetPr>
    <pageSetUpPr fitToPage="1"/>
  </sheetPr>
  <dimension ref="A1:E64"/>
  <sheetViews>
    <sheetView tabSelected="1" view="pageBreakPreview" zoomScaleNormal="100" zoomScaleSheetLayoutView="100" workbookViewId="0">
      <selection activeCell="T96" sqref="T96"/>
    </sheetView>
  </sheetViews>
  <sheetFormatPr defaultRowHeight="14.25"/>
  <cols>
    <col min="1" max="1" width="8.796875" style="218"/>
    <col min="2" max="2" width="30.6640625" bestFit="1" customWidth="1"/>
    <col min="3" max="3" width="72.53125" customWidth="1"/>
    <col min="192" max="192" width="12.19921875" customWidth="1"/>
    <col min="193" max="193" width="60" customWidth="1"/>
    <col min="448" max="448" width="12.19921875" customWidth="1"/>
    <col min="449" max="449" width="60" customWidth="1"/>
    <col min="704" max="704" width="12.19921875" customWidth="1"/>
    <col min="705" max="705" width="60" customWidth="1"/>
    <col min="960" max="960" width="12.19921875" customWidth="1"/>
    <col min="961" max="961" width="60" customWidth="1"/>
    <col min="1216" max="1216" width="12.19921875" customWidth="1"/>
    <col min="1217" max="1217" width="60" customWidth="1"/>
    <col min="1472" max="1472" width="12.19921875" customWidth="1"/>
    <col min="1473" max="1473" width="60" customWidth="1"/>
    <col min="1728" max="1728" width="12.19921875" customWidth="1"/>
    <col min="1729" max="1729" width="60" customWidth="1"/>
    <col min="1984" max="1984" width="12.19921875" customWidth="1"/>
    <col min="1985" max="1985" width="60" customWidth="1"/>
    <col min="2240" max="2240" width="12.19921875" customWidth="1"/>
    <col min="2241" max="2241" width="60" customWidth="1"/>
    <col min="2496" max="2496" width="12.19921875" customWidth="1"/>
    <col min="2497" max="2497" width="60" customWidth="1"/>
    <col min="2752" max="2752" width="12.19921875" customWidth="1"/>
    <col min="2753" max="2753" width="60" customWidth="1"/>
    <col min="3008" max="3008" width="12.19921875" customWidth="1"/>
    <col min="3009" max="3009" width="60" customWidth="1"/>
    <col min="3264" max="3264" width="12.19921875" customWidth="1"/>
    <col min="3265" max="3265" width="60" customWidth="1"/>
    <col min="3520" max="3520" width="12.19921875" customWidth="1"/>
    <col min="3521" max="3521" width="60" customWidth="1"/>
    <col min="3776" max="3776" width="12.19921875" customWidth="1"/>
    <col min="3777" max="3777" width="60" customWidth="1"/>
    <col min="4032" max="4032" width="12.19921875" customWidth="1"/>
    <col min="4033" max="4033" width="60" customWidth="1"/>
    <col min="4288" max="4288" width="12.19921875" customWidth="1"/>
    <col min="4289" max="4289" width="60" customWidth="1"/>
    <col min="4544" max="4544" width="12.19921875" customWidth="1"/>
    <col min="4545" max="4545" width="60" customWidth="1"/>
    <col min="4800" max="4800" width="12.19921875" customWidth="1"/>
    <col min="4801" max="4801" width="60" customWidth="1"/>
    <col min="5056" max="5056" width="12.19921875" customWidth="1"/>
    <col min="5057" max="5057" width="60" customWidth="1"/>
    <col min="5312" max="5312" width="12.19921875" customWidth="1"/>
    <col min="5313" max="5313" width="60" customWidth="1"/>
    <col min="5568" max="5568" width="12.19921875" customWidth="1"/>
    <col min="5569" max="5569" width="60" customWidth="1"/>
    <col min="5824" max="5824" width="12.19921875" customWidth="1"/>
    <col min="5825" max="5825" width="60" customWidth="1"/>
    <col min="6080" max="6080" width="12.19921875" customWidth="1"/>
    <col min="6081" max="6081" width="60" customWidth="1"/>
    <col min="6336" max="6336" width="12.19921875" customWidth="1"/>
    <col min="6337" max="6337" width="60" customWidth="1"/>
    <col min="6592" max="6592" width="12.19921875" customWidth="1"/>
    <col min="6593" max="6593" width="60" customWidth="1"/>
    <col min="6848" max="6848" width="12.19921875" customWidth="1"/>
    <col min="6849" max="6849" width="60" customWidth="1"/>
    <col min="7104" max="7104" width="12.19921875" customWidth="1"/>
    <col min="7105" max="7105" width="60" customWidth="1"/>
    <col min="7360" max="7360" width="12.19921875" customWidth="1"/>
    <col min="7361" max="7361" width="60" customWidth="1"/>
    <col min="7616" max="7616" width="12.19921875" customWidth="1"/>
    <col min="7617" max="7617" width="60" customWidth="1"/>
    <col min="7872" max="7872" width="12.19921875" customWidth="1"/>
    <col min="7873" max="7873" width="60" customWidth="1"/>
    <col min="8128" max="8128" width="12.19921875" customWidth="1"/>
    <col min="8129" max="8129" width="60" customWidth="1"/>
    <col min="8384" max="8384" width="12.19921875" customWidth="1"/>
    <col min="8385" max="8385" width="60" customWidth="1"/>
    <col min="8640" max="8640" width="12.19921875" customWidth="1"/>
    <col min="8641" max="8641" width="60" customWidth="1"/>
    <col min="8896" max="8896" width="12.19921875" customWidth="1"/>
    <col min="8897" max="8897" width="60" customWidth="1"/>
    <col min="9152" max="9152" width="12.19921875" customWidth="1"/>
    <col min="9153" max="9153" width="60" customWidth="1"/>
    <col min="9408" max="9408" width="12.19921875" customWidth="1"/>
    <col min="9409" max="9409" width="60" customWidth="1"/>
    <col min="9664" max="9664" width="12.19921875" customWidth="1"/>
    <col min="9665" max="9665" width="60" customWidth="1"/>
    <col min="9920" max="9920" width="12.19921875" customWidth="1"/>
    <col min="9921" max="9921" width="60" customWidth="1"/>
    <col min="10176" max="10176" width="12.19921875" customWidth="1"/>
    <col min="10177" max="10177" width="60" customWidth="1"/>
    <col min="10432" max="10432" width="12.19921875" customWidth="1"/>
    <col min="10433" max="10433" width="60" customWidth="1"/>
    <col min="10688" max="10688" width="12.19921875" customWidth="1"/>
    <col min="10689" max="10689" width="60" customWidth="1"/>
    <col min="10944" max="10944" width="12.19921875" customWidth="1"/>
    <col min="10945" max="10945" width="60" customWidth="1"/>
    <col min="11200" max="11200" width="12.19921875" customWidth="1"/>
    <col min="11201" max="11201" width="60" customWidth="1"/>
    <col min="11456" max="11456" width="12.19921875" customWidth="1"/>
    <col min="11457" max="11457" width="60" customWidth="1"/>
    <col min="11712" max="11712" width="12.19921875" customWidth="1"/>
    <col min="11713" max="11713" width="60" customWidth="1"/>
    <col min="11968" max="11968" width="12.19921875" customWidth="1"/>
    <col min="11969" max="11969" width="60" customWidth="1"/>
    <col min="12224" max="12224" width="12.19921875" customWidth="1"/>
    <col min="12225" max="12225" width="60" customWidth="1"/>
    <col min="12480" max="12480" width="12.19921875" customWidth="1"/>
    <col min="12481" max="12481" width="60" customWidth="1"/>
    <col min="12736" max="12736" width="12.19921875" customWidth="1"/>
    <col min="12737" max="12737" width="60" customWidth="1"/>
    <col min="12992" max="12992" width="12.19921875" customWidth="1"/>
    <col min="12993" max="12993" width="60" customWidth="1"/>
    <col min="13248" max="13248" width="12.19921875" customWidth="1"/>
    <col min="13249" max="13249" width="60" customWidth="1"/>
    <col min="13504" max="13504" width="12.19921875" customWidth="1"/>
    <col min="13505" max="13505" width="60" customWidth="1"/>
    <col min="13760" max="13760" width="12.19921875" customWidth="1"/>
    <col min="13761" max="13761" width="60" customWidth="1"/>
    <col min="14016" max="14016" width="12.19921875" customWidth="1"/>
    <col min="14017" max="14017" width="60" customWidth="1"/>
    <col min="14272" max="14272" width="12.19921875" customWidth="1"/>
    <col min="14273" max="14273" width="60" customWidth="1"/>
    <col min="14528" max="14528" width="12.19921875" customWidth="1"/>
    <col min="14529" max="14529" width="60" customWidth="1"/>
    <col min="14784" max="14784" width="12.19921875" customWidth="1"/>
    <col min="14785" max="14785" width="60" customWidth="1"/>
    <col min="15040" max="15040" width="12.19921875" customWidth="1"/>
    <col min="15041" max="15041" width="60" customWidth="1"/>
    <col min="15296" max="15296" width="12.19921875" customWidth="1"/>
    <col min="15297" max="15297" width="60" customWidth="1"/>
    <col min="15552" max="15552" width="12.19921875" customWidth="1"/>
    <col min="15553" max="15553" width="60" customWidth="1"/>
    <col min="15808" max="15808" width="12.19921875" customWidth="1"/>
    <col min="15809" max="15809" width="60" customWidth="1"/>
    <col min="16064" max="16064" width="12.19921875" customWidth="1"/>
    <col min="16065" max="16065" width="60" customWidth="1"/>
  </cols>
  <sheetData>
    <row r="1" spans="1:3">
      <c r="A1" s="1480" t="s">
        <v>1375</v>
      </c>
      <c r="B1" s="1480"/>
      <c r="C1" s="1480"/>
    </row>
    <row r="2" spans="1:3">
      <c r="A2" s="4" t="s">
        <v>1854</v>
      </c>
      <c r="B2" s="4" t="s">
        <v>1855</v>
      </c>
      <c r="C2" s="4" t="s">
        <v>1856</v>
      </c>
    </row>
    <row r="3" spans="1:3">
      <c r="A3" s="6">
        <v>1</v>
      </c>
      <c r="B3" s="6" t="s">
        <v>1857</v>
      </c>
      <c r="C3" s="28" t="str">
        <f>'BS1'!A3</f>
        <v>Profit &amp; Loss Account</v>
      </c>
    </row>
    <row r="4" spans="1:3">
      <c r="A4" s="6">
        <v>2</v>
      </c>
      <c r="B4" s="6" t="s">
        <v>1858</v>
      </c>
      <c r="C4" s="28" t="str">
        <f>'BS2'!A3</f>
        <v>Balance Sheet</v>
      </c>
    </row>
    <row r="5" spans="1:3">
      <c r="A5" s="6">
        <v>3</v>
      </c>
      <c r="B5" s="6" t="s">
        <v>1859</v>
      </c>
      <c r="C5" s="28" t="str">
        <f>'BS3'!A3</f>
        <v>Cash Flow Statement</v>
      </c>
    </row>
    <row r="6" spans="1:3">
      <c r="A6" s="6">
        <v>4</v>
      </c>
      <c r="B6" s="6" t="s">
        <v>152</v>
      </c>
      <c r="C6" s="28" t="str">
        <f>'Energy Balance'!A3</f>
        <v>Energy Balance</v>
      </c>
    </row>
    <row r="7" spans="1:3">
      <c r="A7" s="6">
        <v>5</v>
      </c>
      <c r="B7" s="6" t="s">
        <v>1860</v>
      </c>
      <c r="C7" s="47" t="str">
        <f>'True up-snapshot'!A3</f>
        <v>True-Up Snapshot</v>
      </c>
    </row>
    <row r="8" spans="1:3">
      <c r="A8" s="6">
        <v>6</v>
      </c>
      <c r="B8" s="6" t="s">
        <v>731</v>
      </c>
      <c r="C8" s="28" t="str">
        <f>'APR Snapshot'!A3</f>
        <v>APR Snapshot</v>
      </c>
    </row>
    <row r="9" spans="1:3">
      <c r="A9" s="6">
        <v>7</v>
      </c>
      <c r="B9" s="6" t="s">
        <v>739</v>
      </c>
      <c r="C9" s="28" t="str">
        <f>ARR!A3</f>
        <v xml:space="preserve">Annual Revenue Requirement </v>
      </c>
    </row>
    <row r="10" spans="1:3">
      <c r="A10" s="6">
        <v>8</v>
      </c>
      <c r="B10" s="6" t="s">
        <v>1861</v>
      </c>
      <c r="C10" s="28" t="str">
        <f>'ARR snapshot'!A3</f>
        <v>ARR Snapshot</v>
      </c>
    </row>
    <row r="11" spans="1:3">
      <c r="A11" s="6">
        <v>9</v>
      </c>
      <c r="B11" s="6" t="s">
        <v>1862</v>
      </c>
      <c r="C11" s="28" t="str">
        <f>ESR1_OA!A3</f>
        <v>Revenue from Open Access Customers</v>
      </c>
    </row>
    <row r="12" spans="1:3">
      <c r="A12" s="6">
        <v>10</v>
      </c>
      <c r="B12" s="6" t="s">
        <v>1863</v>
      </c>
      <c r="C12" s="28" t="str">
        <f>'ESR2_Sales Forecast'!A3</f>
        <v>Determination of CAGR of Energy Sales Forecast</v>
      </c>
    </row>
    <row r="13" spans="1:3">
      <c r="A13" s="6">
        <v>11</v>
      </c>
      <c r="B13" s="6" t="s">
        <v>1864</v>
      </c>
      <c r="C13" s="28" t="str">
        <f>'ESR3_Curr Tariff'!A3</f>
        <v>Revenue from Current Tariffs</v>
      </c>
    </row>
    <row r="14" spans="1:3">
      <c r="A14" s="6">
        <v>12</v>
      </c>
      <c r="B14" s="6" t="s">
        <v>1865</v>
      </c>
      <c r="C14" s="28" t="str">
        <f>'ESR4_Prop Tariff'!A3</f>
        <v>Revenue from Proposed Tariffs</v>
      </c>
    </row>
    <row r="15" spans="1:3">
      <c r="A15" s="6">
        <v>13</v>
      </c>
      <c r="B15" s="6" t="s">
        <v>1866</v>
      </c>
      <c r="C15" s="28" t="str">
        <f>'ESR4_Prop Tariff'!A3</f>
        <v>Revenue from Proposed Tariffs</v>
      </c>
    </row>
    <row r="16" spans="1:3">
      <c r="A16" s="6">
        <v>14</v>
      </c>
      <c r="B16" s="6" t="s">
        <v>1867</v>
      </c>
      <c r="C16" s="28" t="str">
        <f>'ESR5_BD&amp;Rev'!A3</f>
        <v>Consumer No., Connected Load, Sales &amp; Revenue Details</v>
      </c>
    </row>
    <row r="17" spans="1:3">
      <c r="A17" s="6">
        <v>15</v>
      </c>
      <c r="B17" s="6" t="s">
        <v>1868</v>
      </c>
      <c r="C17" s="28" t="str">
        <f>ESR6_Subsidy!A3</f>
        <v>Revenue from Tariff Subsidy</v>
      </c>
    </row>
    <row r="18" spans="1:3">
      <c r="A18" s="6">
        <v>16</v>
      </c>
      <c r="B18" s="6" t="s">
        <v>1869</v>
      </c>
      <c r="C18" s="28" t="str">
        <f>'ESR7_BD monthly'!A3</f>
        <v>Month-wise details of Billing Determinants</v>
      </c>
    </row>
    <row r="19" spans="1:3">
      <c r="A19" s="6">
        <v>17</v>
      </c>
      <c r="B19" s="6" t="s">
        <v>1870</v>
      </c>
      <c r="C19" s="28" t="str">
        <f>F1_PP_Annual!A3</f>
        <v>Summary of Power Purchase from Own Stations and Other Sources</v>
      </c>
    </row>
    <row r="20" spans="1:3">
      <c r="A20" s="6">
        <v>18</v>
      </c>
      <c r="B20" s="6" t="s">
        <v>1871</v>
      </c>
      <c r="C20" s="28" t="str">
        <f>F2_PP_Assump!A3</f>
        <v>Assumptions For Power Purchase</v>
      </c>
    </row>
    <row r="21" spans="1:3">
      <c r="A21" s="6">
        <v>19</v>
      </c>
      <c r="B21" s="6" t="s">
        <v>1872</v>
      </c>
      <c r="C21" s="28" t="str">
        <f>'ESR3_Curr Tariff'!A3</f>
        <v>Revenue from Current Tariffs</v>
      </c>
    </row>
    <row r="22" spans="1:3">
      <c r="A22" s="6">
        <v>20</v>
      </c>
      <c r="B22" s="6" t="s">
        <v>1873</v>
      </c>
      <c r="C22" s="28" t="str">
        <f>F4_PP_MOD!A3</f>
        <v>Merit Order Despatch</v>
      </c>
    </row>
    <row r="23" spans="1:3">
      <c r="A23" s="6">
        <v>21</v>
      </c>
      <c r="B23" s="6" t="s">
        <v>1874</v>
      </c>
      <c r="C23" s="28" t="str">
        <f>F5_PP_Renew!A3</f>
        <v>PPA-wise renewable energy procured</v>
      </c>
    </row>
    <row r="24" spans="1:3">
      <c r="A24" s="6">
        <v>22</v>
      </c>
      <c r="B24" s="6" t="s">
        <v>1875</v>
      </c>
      <c r="C24" s="28" t="str">
        <f>F6_PP6_RPO!A3</f>
        <v>Details of Renewable Purchase Obligation</v>
      </c>
    </row>
    <row r="25" spans="1:3">
      <c r="A25" s="6">
        <v>23</v>
      </c>
      <c r="B25" s="6" t="s">
        <v>1876</v>
      </c>
      <c r="C25" s="28" t="str">
        <f>'F7_PP_Comp Bid'!A3</f>
        <v>Details for power procured via competitive bidding</v>
      </c>
    </row>
    <row r="26" spans="1:3">
      <c r="A26" s="6">
        <v>24</v>
      </c>
      <c r="B26" s="6" t="s">
        <v>1877</v>
      </c>
      <c r="C26" s="28" t="str">
        <f>'F8_PP_Short Term'!A3</f>
        <v>Information on short term power procurement</v>
      </c>
    </row>
    <row r="27" spans="1:3">
      <c r="A27" s="6">
        <v>25</v>
      </c>
      <c r="B27" s="6" t="s">
        <v>1878</v>
      </c>
      <c r="C27" s="28" t="str">
        <f>F9_PP_plan!A3</f>
        <v xml:space="preserve">Power Procurement Planning  (in MWs) </v>
      </c>
    </row>
    <row r="28" spans="1:3">
      <c r="A28" s="6">
        <v>26</v>
      </c>
      <c r="B28" s="6" t="s">
        <v>1879</v>
      </c>
      <c r="C28" s="12" t="str">
        <f>F10_PP_BST!A3</f>
        <v>Bulk Supply Tariff Details</v>
      </c>
    </row>
    <row r="29" spans="1:3">
      <c r="A29" s="6">
        <v>27</v>
      </c>
      <c r="B29" s="6" t="s">
        <v>1880</v>
      </c>
      <c r="C29" s="12" t="str">
        <f>'F11_CAP_Asset not in use'!A3</f>
        <v xml:space="preserve">Statement of Assets Not in Use </v>
      </c>
    </row>
    <row r="30" spans="1:3">
      <c r="A30" s="6">
        <v>28</v>
      </c>
      <c r="B30" s="6" t="s">
        <v>1881</v>
      </c>
      <c r="C30" s="12" t="str">
        <f>'F12_CAP_Cons Contri'!A3</f>
        <v>Consumer contributions and grants towards cost of capital assets</v>
      </c>
    </row>
    <row r="31" spans="1:3">
      <c r="A31" s="6">
        <v>29</v>
      </c>
      <c r="B31" s="6" t="s">
        <v>1882</v>
      </c>
      <c r="C31" s="12" t="str">
        <f>F13_CAP_Plan!A3</f>
        <v>Investment Plan - Master</v>
      </c>
    </row>
    <row r="32" spans="1:3">
      <c r="A32" s="6">
        <v>30</v>
      </c>
      <c r="B32" s="6" t="s">
        <v>1883</v>
      </c>
      <c r="C32" s="12" t="str">
        <f>'F14_CAP_Cap Cost'!A3</f>
        <v>Statement of Capital Cost</v>
      </c>
    </row>
    <row r="33" spans="1:3">
      <c r="A33" s="6">
        <v>31</v>
      </c>
      <c r="B33" s="6" t="s">
        <v>1884</v>
      </c>
      <c r="C33" s="12" t="str">
        <f>F15_CAP_CWIP!A3</f>
        <v>Statement of Capital Works in Progress</v>
      </c>
    </row>
    <row r="34" spans="1:3">
      <c r="A34" s="6">
        <v>32</v>
      </c>
      <c r="B34" s="6" t="s">
        <v>1885</v>
      </c>
      <c r="C34" s="12" t="str">
        <f>'F16_CAP_CAPEX &amp; CAPITALISATION'!A3</f>
        <v>Capex and Capitalisation Details</v>
      </c>
    </row>
    <row r="35" spans="1:3">
      <c r="A35" s="6">
        <v>33</v>
      </c>
      <c r="B35" s="6" t="s">
        <v>1886</v>
      </c>
      <c r="C35" s="12" t="str">
        <f>'F17_O&amp;M_CPI'!A3</f>
        <v>Consumer Price Inflation</v>
      </c>
    </row>
    <row r="36" spans="1:3">
      <c r="A36" s="6">
        <v>34</v>
      </c>
      <c r="B36" s="6" t="s">
        <v>1887</v>
      </c>
      <c r="C36" s="12" t="str">
        <f>'F18_O&amp;M_WPI'!A3</f>
        <v>Wholesale Price Inflation</v>
      </c>
    </row>
    <row r="37" spans="1:3">
      <c r="A37" s="6">
        <v>35</v>
      </c>
      <c r="B37" s="6" t="s">
        <v>1888</v>
      </c>
      <c r="C37" s="12" t="str">
        <f>'F19_O&amp;M_EE n AG base'!A4</f>
        <v>Base year determination for Employee and A&amp;G expenses</v>
      </c>
    </row>
    <row r="38" spans="1:3">
      <c r="A38" s="6">
        <v>36</v>
      </c>
      <c r="B38" s="6" t="s">
        <v>1889</v>
      </c>
      <c r="C38" s="12" t="str">
        <f>'F20_O&amp;M_EE'!A3</f>
        <v>Employee Expenses</v>
      </c>
    </row>
    <row r="39" spans="1:3">
      <c r="A39" s="6">
        <v>37</v>
      </c>
      <c r="B39" s="6" t="s">
        <v>1890</v>
      </c>
      <c r="C39" s="28" t="str">
        <f>'F21_O&amp;M_EE (A)'!A3</f>
        <v>Component wise Details of Employee Expenses</v>
      </c>
    </row>
    <row r="40" spans="1:3">
      <c r="A40" s="6">
        <v>38</v>
      </c>
      <c r="B40" s="6" t="s">
        <v>1891</v>
      </c>
      <c r="C40" s="28" t="str">
        <f>'F22_O&amp;M_R&amp;M'!A3</f>
        <v>R&amp;M Expenses</v>
      </c>
    </row>
    <row r="41" spans="1:3">
      <c r="A41" s="6">
        <v>39</v>
      </c>
      <c r="B41" s="6" t="s">
        <v>1892</v>
      </c>
      <c r="C41" s="28" t="str">
        <f>'F23_O&amp;M_A&amp;G'!A3</f>
        <v>Componentwise Details of Administration &amp; General Expenses</v>
      </c>
    </row>
    <row r="42" spans="1:3">
      <c r="A42" s="6">
        <v>40</v>
      </c>
      <c r="B42" s="6" t="s">
        <v>1893</v>
      </c>
      <c r="C42" s="28" t="str">
        <f>F24_Dep!A2</f>
        <v>Calculation of Depreciation Rate</v>
      </c>
    </row>
    <row r="43" spans="1:3">
      <c r="A43" s="6">
        <v>41</v>
      </c>
      <c r="B43" s="6" t="s">
        <v>1894</v>
      </c>
      <c r="C43" s="28" t="str">
        <f>F25_IOL!A3</f>
        <v>Interest on Normative Loan</v>
      </c>
    </row>
    <row r="44" spans="1:3">
      <c r="A44" s="6">
        <v>42</v>
      </c>
      <c r="B44" s="6" t="s">
        <v>1895</v>
      </c>
      <c r="C44" s="28" t="str">
        <f>F26_ROE!A3</f>
        <v>Return of Equity</v>
      </c>
    </row>
    <row r="45" spans="1:3">
      <c r="A45" s="6">
        <v>43</v>
      </c>
      <c r="B45" s="6" t="s">
        <v>1896</v>
      </c>
      <c r="C45" s="28" t="str">
        <f>'F27_Work Cap'!A3</f>
        <v>Working Capital Requirements</v>
      </c>
    </row>
    <row r="46" spans="1:3">
      <c r="A46" s="6">
        <v>44</v>
      </c>
      <c r="B46" s="6" t="s">
        <v>1897</v>
      </c>
      <c r="C46" s="28" t="str">
        <f>F28_NTI!A3</f>
        <v>Details of Non-tariff Income</v>
      </c>
    </row>
    <row r="47" spans="1:3">
      <c r="A47" s="6">
        <v>45</v>
      </c>
      <c r="B47" s="6" t="s">
        <v>1898</v>
      </c>
      <c r="C47" s="28" t="str">
        <f>'F29_Income Tax'!A3</f>
        <v>Income Tax Provisions</v>
      </c>
    </row>
    <row r="48" spans="1:3">
      <c r="A48" s="6">
        <v>46</v>
      </c>
      <c r="B48" s="6" t="s">
        <v>1899</v>
      </c>
      <c r="C48" s="28" t="str">
        <f>'F30_CSD monthly'!A3</f>
        <v>Monthly details of Consumer Security Deposit for True up year</v>
      </c>
    </row>
    <row r="49" spans="1:5">
      <c r="A49" s="6">
        <v>47</v>
      </c>
      <c r="B49" s="6" t="s">
        <v>1900</v>
      </c>
      <c r="C49" s="28" t="str">
        <f>F30A_CSD!A3</f>
        <v>Consumer Security Deposit - FY 2024-25</v>
      </c>
    </row>
    <row r="50" spans="1:5">
      <c r="A50" s="6">
        <v>48</v>
      </c>
      <c r="B50" s="6" t="s">
        <v>1901</v>
      </c>
      <c r="C50" s="28" t="str">
        <f>F31_Recievables!A3</f>
        <v>Statement of Receivables</v>
      </c>
    </row>
    <row r="51" spans="1:5">
      <c r="A51" s="6">
        <v>49</v>
      </c>
      <c r="B51" s="6" t="s">
        <v>1902</v>
      </c>
      <c r="C51" s="28" t="str">
        <f>'F32_Wheeling-Supply'!B3</f>
        <v>Allocation of Wheeling &amp; Retail Supply and Cross Subsidy Surcharge</v>
      </c>
    </row>
    <row r="52" spans="1:5">
      <c r="A52" s="6">
        <v>50</v>
      </c>
      <c r="B52" s="6" t="s">
        <v>1914</v>
      </c>
      <c r="C52" s="28" t="str">
        <f>F33_CSS!A3</f>
        <v>Details of Cross Subsidy Surchage</v>
      </c>
    </row>
    <row r="53" spans="1:5">
      <c r="A53" s="6">
        <v>51</v>
      </c>
      <c r="B53" s="6" t="s">
        <v>1903</v>
      </c>
      <c r="C53" s="28" t="str">
        <f>P1_DL!A3</f>
        <v>Distribution Loss</v>
      </c>
      <c r="E53" t="s">
        <v>335</v>
      </c>
    </row>
    <row r="54" spans="1:5">
      <c r="A54" s="6">
        <v>52</v>
      </c>
      <c r="B54" s="6" t="s">
        <v>1904</v>
      </c>
      <c r="C54" s="28" t="str">
        <f>'P1A_DL HT-LT'!A3</f>
        <v>Distribution Losses in LT and HT system</v>
      </c>
    </row>
    <row r="55" spans="1:5">
      <c r="A55" s="6">
        <v>53</v>
      </c>
      <c r="B55" s="6" t="s">
        <v>1905</v>
      </c>
      <c r="C55" s="28" t="str">
        <f>'P2_AVG Supply HRS'!A3</f>
        <v>Avg. No. of Hour Supply Per day</v>
      </c>
    </row>
    <row r="56" spans="1:5">
      <c r="A56" s="6">
        <v>54</v>
      </c>
      <c r="B56" s="6" t="s">
        <v>1906</v>
      </c>
      <c r="C56" s="28" t="str">
        <f>'P3_Bad Debts'!A3</f>
        <v>Debits, Write-offs and any other items</v>
      </c>
    </row>
    <row r="57" spans="1:5">
      <c r="A57" s="6">
        <v>55</v>
      </c>
      <c r="B57" s="6" t="s">
        <v>1907</v>
      </c>
      <c r="C57" s="28" t="str">
        <f>'P4_Phy Stat'!A3</f>
        <v>Details of Physical statistics of the network</v>
      </c>
    </row>
    <row r="58" spans="1:5">
      <c r="A58" s="6">
        <v>56</v>
      </c>
      <c r="B58" s="6" t="s">
        <v>1908</v>
      </c>
      <c r="C58" s="28" t="str">
        <f>P5_Arrear!A3</f>
        <v>Analysis of  Revenue Arrears</v>
      </c>
    </row>
    <row r="59" spans="1:5">
      <c r="A59" s="6">
        <v>57</v>
      </c>
      <c r="B59" s="6" t="s">
        <v>1909</v>
      </c>
      <c r="C59" s="28" t="str">
        <f>'P6_Cons Complaints'!A3</f>
        <v>Consumer Complaint</v>
      </c>
    </row>
    <row r="60" spans="1:5">
      <c r="A60" s="6">
        <v>58</v>
      </c>
      <c r="B60" s="6" t="s">
        <v>1910</v>
      </c>
      <c r="C60" s="28" t="str">
        <f>'P7_Trans Failure'!A3</f>
        <v>Failure of Transformers</v>
      </c>
    </row>
    <row r="61" spans="1:5">
      <c r="A61" s="6">
        <v>59</v>
      </c>
      <c r="B61" s="6" t="s">
        <v>1911</v>
      </c>
      <c r="C61" s="685" t="str">
        <f>'P8_Elec Accidents'!A3</f>
        <v>Electrical Accidents</v>
      </c>
    </row>
    <row r="62" spans="1:5">
      <c r="A62" s="6">
        <v>60</v>
      </c>
      <c r="B62" s="6" t="s">
        <v>1841</v>
      </c>
      <c r="C62" s="12" t="str">
        <f>'F9_Peak Demand'!A3</f>
        <v>Peak Demand in MW</v>
      </c>
    </row>
    <row r="63" spans="1:5">
      <c r="A63" s="6">
        <v>61</v>
      </c>
      <c r="B63" s="6" t="s">
        <v>1840</v>
      </c>
      <c r="C63" s="12" t="str">
        <f>'P10_Pending Cases'!A3</f>
        <v>Details of Pending Cases as on date of filing</v>
      </c>
    </row>
    <row r="64" spans="1:5">
      <c r="A64" s="6">
        <v>62</v>
      </c>
      <c r="B64" s="6" t="s">
        <v>1839</v>
      </c>
      <c r="C64" s="12" t="str">
        <f>P11_Land!A3</f>
        <v>Details of Land Assets</v>
      </c>
    </row>
  </sheetData>
  <mergeCells count="1">
    <mergeCell ref="A1:C1"/>
  </mergeCells>
  <pageMargins left="0.23622047244094491" right="0.23622047244094491" top="0.74803149606299213" bottom="0.74803149606299213" header="0.31496062992125984" footer="0.31496062992125984"/>
  <pageSetup paperSize="5" scale="91"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FFFF"/>
    <pageSetUpPr fitToPage="1"/>
  </sheetPr>
  <dimension ref="A1:EO40"/>
  <sheetViews>
    <sheetView view="pageBreakPreview" zoomScaleNormal="100" zoomScaleSheetLayoutView="100" workbookViewId="0">
      <selection activeCell="T96" sqref="T96"/>
    </sheetView>
  </sheetViews>
  <sheetFormatPr defaultRowHeight="14.25"/>
  <cols>
    <col min="1" max="1" width="8" style="3" customWidth="1"/>
    <col min="2" max="2" width="19.19921875" style="3" customWidth="1"/>
    <col min="3" max="3" width="54" style="3" customWidth="1"/>
    <col min="4" max="14" width="8.796875" style="3" customWidth="1"/>
    <col min="15" max="231" width="9.19921875" style="3"/>
    <col min="232" max="232" width="3.19921875" style="3" customWidth="1"/>
    <col min="233" max="233" width="36" style="3" customWidth="1"/>
    <col min="234" max="234" width="8.19921875" style="3" customWidth="1"/>
    <col min="235" max="235" width="12.796875" style="3" customWidth="1"/>
    <col min="236" max="236" width="5.796875" style="3" customWidth="1"/>
    <col min="237" max="237" width="7.46484375" style="3" customWidth="1"/>
    <col min="238" max="238" width="7.19921875" style="3" customWidth="1"/>
    <col min="239" max="239" width="6.796875" style="3" customWidth="1"/>
    <col min="240" max="240" width="6" style="3" customWidth="1"/>
    <col min="241" max="241" width="6.53125" style="3" customWidth="1"/>
    <col min="242" max="242" width="5" style="3" customWidth="1"/>
    <col min="243" max="243" width="6" style="3" customWidth="1"/>
    <col min="244" max="244" width="6.53125" style="3" customWidth="1"/>
    <col min="245" max="245" width="5" style="3" customWidth="1"/>
    <col min="246" max="246" width="6.796875" style="3" customWidth="1"/>
    <col min="247" max="487" width="9.19921875" style="3"/>
    <col min="488" max="488" width="3.19921875" style="3" customWidth="1"/>
    <col min="489" max="489" width="36" style="3" customWidth="1"/>
    <col min="490" max="490" width="8.19921875" style="3" customWidth="1"/>
    <col min="491" max="491" width="12.796875" style="3" customWidth="1"/>
    <col min="492" max="492" width="5.796875" style="3" customWidth="1"/>
    <col min="493" max="493" width="7.46484375" style="3" customWidth="1"/>
    <col min="494" max="494" width="7.19921875" style="3" customWidth="1"/>
    <col min="495" max="495" width="6.796875" style="3" customWidth="1"/>
    <col min="496" max="496" width="6" style="3" customWidth="1"/>
    <col min="497" max="497" width="6.53125" style="3" customWidth="1"/>
    <col min="498" max="498" width="5" style="3" customWidth="1"/>
    <col min="499" max="499" width="6" style="3" customWidth="1"/>
    <col min="500" max="500" width="6.53125" style="3" customWidth="1"/>
    <col min="501" max="501" width="5" style="3" customWidth="1"/>
    <col min="502" max="502" width="6.796875" style="3" customWidth="1"/>
    <col min="503" max="743" width="9.19921875" style="3"/>
    <col min="744" max="744" width="3.19921875" style="3" customWidth="1"/>
    <col min="745" max="745" width="36" style="3" customWidth="1"/>
    <col min="746" max="746" width="8.19921875" style="3" customWidth="1"/>
    <col min="747" max="747" width="12.796875" style="3" customWidth="1"/>
    <col min="748" max="748" width="5.796875" style="3" customWidth="1"/>
    <col min="749" max="749" width="7.46484375" style="3" customWidth="1"/>
    <col min="750" max="750" width="7.19921875" style="3" customWidth="1"/>
    <col min="751" max="751" width="6.796875" style="3" customWidth="1"/>
    <col min="752" max="752" width="6" style="3" customWidth="1"/>
    <col min="753" max="753" width="6.53125" style="3" customWidth="1"/>
    <col min="754" max="754" width="5" style="3" customWidth="1"/>
    <col min="755" max="755" width="6" style="3" customWidth="1"/>
    <col min="756" max="756" width="6.53125" style="3" customWidth="1"/>
    <col min="757" max="757" width="5" style="3" customWidth="1"/>
    <col min="758" max="758" width="6.796875" style="3" customWidth="1"/>
    <col min="759" max="999" width="9.19921875" style="3"/>
    <col min="1000" max="1000" width="3.19921875" style="3" customWidth="1"/>
    <col min="1001" max="1001" width="36" style="3" customWidth="1"/>
    <col min="1002" max="1002" width="8.19921875" style="3" customWidth="1"/>
    <col min="1003" max="1003" width="12.796875" style="3" customWidth="1"/>
    <col min="1004" max="1004" width="5.796875" style="3" customWidth="1"/>
    <col min="1005" max="1005" width="7.46484375" style="3" customWidth="1"/>
    <col min="1006" max="1006" width="7.19921875" style="3" customWidth="1"/>
    <col min="1007" max="1007" width="6.796875" style="3" customWidth="1"/>
    <col min="1008" max="1008" width="6" style="3" customWidth="1"/>
    <col min="1009" max="1009" width="6.53125" style="3" customWidth="1"/>
    <col min="1010" max="1010" width="5" style="3" customWidth="1"/>
    <col min="1011" max="1011" width="6" style="3" customWidth="1"/>
    <col min="1012" max="1012" width="6.53125" style="3" customWidth="1"/>
    <col min="1013" max="1013" width="5" style="3" customWidth="1"/>
    <col min="1014" max="1014" width="6.796875" style="3" customWidth="1"/>
    <col min="1015" max="1255" width="9.19921875" style="3"/>
    <col min="1256" max="1256" width="3.19921875" style="3" customWidth="1"/>
    <col min="1257" max="1257" width="36" style="3" customWidth="1"/>
    <col min="1258" max="1258" width="8.19921875" style="3" customWidth="1"/>
    <col min="1259" max="1259" width="12.796875" style="3" customWidth="1"/>
    <col min="1260" max="1260" width="5.796875" style="3" customWidth="1"/>
    <col min="1261" max="1261" width="7.46484375" style="3" customWidth="1"/>
    <col min="1262" max="1262" width="7.19921875" style="3" customWidth="1"/>
    <col min="1263" max="1263" width="6.796875" style="3" customWidth="1"/>
    <col min="1264" max="1264" width="6" style="3" customWidth="1"/>
    <col min="1265" max="1265" width="6.53125" style="3" customWidth="1"/>
    <col min="1266" max="1266" width="5" style="3" customWidth="1"/>
    <col min="1267" max="1267" width="6" style="3" customWidth="1"/>
    <col min="1268" max="1268" width="6.53125" style="3" customWidth="1"/>
    <col min="1269" max="1269" width="5" style="3" customWidth="1"/>
    <col min="1270" max="1270" width="6.796875" style="3" customWidth="1"/>
    <col min="1271" max="1511" width="9.19921875" style="3"/>
    <col min="1512" max="1512" width="3.19921875" style="3" customWidth="1"/>
    <col min="1513" max="1513" width="36" style="3" customWidth="1"/>
    <col min="1514" max="1514" width="8.19921875" style="3" customWidth="1"/>
    <col min="1515" max="1515" width="12.796875" style="3" customWidth="1"/>
    <col min="1516" max="1516" width="5.796875" style="3" customWidth="1"/>
    <col min="1517" max="1517" width="7.46484375" style="3" customWidth="1"/>
    <col min="1518" max="1518" width="7.19921875" style="3" customWidth="1"/>
    <col min="1519" max="1519" width="6.796875" style="3" customWidth="1"/>
    <col min="1520" max="1520" width="6" style="3" customWidth="1"/>
    <col min="1521" max="1521" width="6.53125" style="3" customWidth="1"/>
    <col min="1522" max="1522" width="5" style="3" customWidth="1"/>
    <col min="1523" max="1523" width="6" style="3" customWidth="1"/>
    <col min="1524" max="1524" width="6.53125" style="3" customWidth="1"/>
    <col min="1525" max="1525" width="5" style="3" customWidth="1"/>
    <col min="1526" max="1526" width="6.796875" style="3" customWidth="1"/>
    <col min="1527" max="1767" width="9.19921875" style="3"/>
    <col min="1768" max="1768" width="3.19921875" style="3" customWidth="1"/>
    <col min="1769" max="1769" width="36" style="3" customWidth="1"/>
    <col min="1770" max="1770" width="8.19921875" style="3" customWidth="1"/>
    <col min="1771" max="1771" width="12.796875" style="3" customWidth="1"/>
    <col min="1772" max="1772" width="5.796875" style="3" customWidth="1"/>
    <col min="1773" max="1773" width="7.46484375" style="3" customWidth="1"/>
    <col min="1774" max="1774" width="7.19921875" style="3" customWidth="1"/>
    <col min="1775" max="1775" width="6.796875" style="3" customWidth="1"/>
    <col min="1776" max="1776" width="6" style="3" customWidth="1"/>
    <col min="1777" max="1777" width="6.53125" style="3" customWidth="1"/>
    <col min="1778" max="1778" width="5" style="3" customWidth="1"/>
    <col min="1779" max="1779" width="6" style="3" customWidth="1"/>
    <col min="1780" max="1780" width="6.53125" style="3" customWidth="1"/>
    <col min="1781" max="1781" width="5" style="3" customWidth="1"/>
    <col min="1782" max="1782" width="6.796875" style="3" customWidth="1"/>
    <col min="1783" max="2023" width="9.19921875" style="3"/>
    <col min="2024" max="2024" width="3.19921875" style="3" customWidth="1"/>
    <col min="2025" max="2025" width="36" style="3" customWidth="1"/>
    <col min="2026" max="2026" width="8.19921875" style="3" customWidth="1"/>
    <col min="2027" max="2027" width="12.796875" style="3" customWidth="1"/>
    <col min="2028" max="2028" width="5.796875" style="3" customWidth="1"/>
    <col min="2029" max="2029" width="7.46484375" style="3" customWidth="1"/>
    <col min="2030" max="2030" width="7.19921875" style="3" customWidth="1"/>
    <col min="2031" max="2031" width="6.796875" style="3" customWidth="1"/>
    <col min="2032" max="2032" width="6" style="3" customWidth="1"/>
    <col min="2033" max="2033" width="6.53125" style="3" customWidth="1"/>
    <col min="2034" max="2034" width="5" style="3" customWidth="1"/>
    <col min="2035" max="2035" width="6" style="3" customWidth="1"/>
    <col min="2036" max="2036" width="6.53125" style="3" customWidth="1"/>
    <col min="2037" max="2037" width="5" style="3" customWidth="1"/>
    <col min="2038" max="2038" width="6.796875" style="3" customWidth="1"/>
    <col min="2039" max="2279" width="9.19921875" style="3"/>
    <col min="2280" max="2280" width="3.19921875" style="3" customWidth="1"/>
    <col min="2281" max="2281" width="36" style="3" customWidth="1"/>
    <col min="2282" max="2282" width="8.19921875" style="3" customWidth="1"/>
    <col min="2283" max="2283" width="12.796875" style="3" customWidth="1"/>
    <col min="2284" max="2284" width="5.796875" style="3" customWidth="1"/>
    <col min="2285" max="2285" width="7.46484375" style="3" customWidth="1"/>
    <col min="2286" max="2286" width="7.19921875" style="3" customWidth="1"/>
    <col min="2287" max="2287" width="6.796875" style="3" customWidth="1"/>
    <col min="2288" max="2288" width="6" style="3" customWidth="1"/>
    <col min="2289" max="2289" width="6.53125" style="3" customWidth="1"/>
    <col min="2290" max="2290" width="5" style="3" customWidth="1"/>
    <col min="2291" max="2291" width="6" style="3" customWidth="1"/>
    <col min="2292" max="2292" width="6.53125" style="3" customWidth="1"/>
    <col min="2293" max="2293" width="5" style="3" customWidth="1"/>
    <col min="2294" max="2294" width="6.796875" style="3" customWidth="1"/>
    <col min="2295" max="2535" width="9.19921875" style="3"/>
    <col min="2536" max="2536" width="3.19921875" style="3" customWidth="1"/>
    <col min="2537" max="2537" width="36" style="3" customWidth="1"/>
    <col min="2538" max="2538" width="8.19921875" style="3" customWidth="1"/>
    <col min="2539" max="2539" width="12.796875" style="3" customWidth="1"/>
    <col min="2540" max="2540" width="5.796875" style="3" customWidth="1"/>
    <col min="2541" max="2541" width="7.46484375" style="3" customWidth="1"/>
    <col min="2542" max="2542" width="7.19921875" style="3" customWidth="1"/>
    <col min="2543" max="2543" width="6.796875" style="3" customWidth="1"/>
    <col min="2544" max="2544" width="6" style="3" customWidth="1"/>
    <col min="2545" max="2545" width="6.53125" style="3" customWidth="1"/>
    <col min="2546" max="2546" width="5" style="3" customWidth="1"/>
    <col min="2547" max="2547" width="6" style="3" customWidth="1"/>
    <col min="2548" max="2548" width="6.53125" style="3" customWidth="1"/>
    <col min="2549" max="2549" width="5" style="3" customWidth="1"/>
    <col min="2550" max="2550" width="6.796875" style="3" customWidth="1"/>
    <col min="2551" max="2791" width="9.19921875" style="3"/>
    <col min="2792" max="2792" width="3.19921875" style="3" customWidth="1"/>
    <col min="2793" max="2793" width="36" style="3" customWidth="1"/>
    <col min="2794" max="2794" width="8.19921875" style="3" customWidth="1"/>
    <col min="2795" max="2795" width="12.796875" style="3" customWidth="1"/>
    <col min="2796" max="2796" width="5.796875" style="3" customWidth="1"/>
    <col min="2797" max="2797" width="7.46484375" style="3" customWidth="1"/>
    <col min="2798" max="2798" width="7.19921875" style="3" customWidth="1"/>
    <col min="2799" max="2799" width="6.796875" style="3" customWidth="1"/>
    <col min="2800" max="2800" width="6" style="3" customWidth="1"/>
    <col min="2801" max="2801" width="6.53125" style="3" customWidth="1"/>
    <col min="2802" max="2802" width="5" style="3" customWidth="1"/>
    <col min="2803" max="2803" width="6" style="3" customWidth="1"/>
    <col min="2804" max="2804" width="6.53125" style="3" customWidth="1"/>
    <col min="2805" max="2805" width="5" style="3" customWidth="1"/>
    <col min="2806" max="2806" width="6.796875" style="3" customWidth="1"/>
    <col min="2807" max="3047" width="9.19921875" style="3"/>
    <col min="3048" max="3048" width="3.19921875" style="3" customWidth="1"/>
    <col min="3049" max="3049" width="36" style="3" customWidth="1"/>
    <col min="3050" max="3050" width="8.19921875" style="3" customWidth="1"/>
    <col min="3051" max="3051" width="12.796875" style="3" customWidth="1"/>
    <col min="3052" max="3052" width="5.796875" style="3" customWidth="1"/>
    <col min="3053" max="3053" width="7.46484375" style="3" customWidth="1"/>
    <col min="3054" max="3054" width="7.19921875" style="3" customWidth="1"/>
    <col min="3055" max="3055" width="6.796875" style="3" customWidth="1"/>
    <col min="3056" max="3056" width="6" style="3" customWidth="1"/>
    <col min="3057" max="3057" width="6.53125" style="3" customWidth="1"/>
    <col min="3058" max="3058" width="5" style="3" customWidth="1"/>
    <col min="3059" max="3059" width="6" style="3" customWidth="1"/>
    <col min="3060" max="3060" width="6.53125" style="3" customWidth="1"/>
    <col min="3061" max="3061" width="5" style="3" customWidth="1"/>
    <col min="3062" max="3062" width="6.796875" style="3" customWidth="1"/>
    <col min="3063" max="3303" width="9.19921875" style="3"/>
    <col min="3304" max="3304" width="3.19921875" style="3" customWidth="1"/>
    <col min="3305" max="3305" width="36" style="3" customWidth="1"/>
    <col min="3306" max="3306" width="8.19921875" style="3" customWidth="1"/>
    <col min="3307" max="3307" width="12.796875" style="3" customWidth="1"/>
    <col min="3308" max="3308" width="5.796875" style="3" customWidth="1"/>
    <col min="3309" max="3309" width="7.46484375" style="3" customWidth="1"/>
    <col min="3310" max="3310" width="7.19921875" style="3" customWidth="1"/>
    <col min="3311" max="3311" width="6.796875" style="3" customWidth="1"/>
    <col min="3312" max="3312" width="6" style="3" customWidth="1"/>
    <col min="3313" max="3313" width="6.53125" style="3" customWidth="1"/>
    <col min="3314" max="3314" width="5" style="3" customWidth="1"/>
    <col min="3315" max="3315" width="6" style="3" customWidth="1"/>
    <col min="3316" max="3316" width="6.53125" style="3" customWidth="1"/>
    <col min="3317" max="3317" width="5" style="3" customWidth="1"/>
    <col min="3318" max="3318" width="6.796875" style="3" customWidth="1"/>
    <col min="3319" max="3559" width="9.19921875" style="3"/>
    <col min="3560" max="3560" width="3.19921875" style="3" customWidth="1"/>
    <col min="3561" max="3561" width="36" style="3" customWidth="1"/>
    <col min="3562" max="3562" width="8.19921875" style="3" customWidth="1"/>
    <col min="3563" max="3563" width="12.796875" style="3" customWidth="1"/>
    <col min="3564" max="3564" width="5.796875" style="3" customWidth="1"/>
    <col min="3565" max="3565" width="7.46484375" style="3" customWidth="1"/>
    <col min="3566" max="3566" width="7.19921875" style="3" customWidth="1"/>
    <col min="3567" max="3567" width="6.796875" style="3" customWidth="1"/>
    <col min="3568" max="3568" width="6" style="3" customWidth="1"/>
    <col min="3569" max="3569" width="6.53125" style="3" customWidth="1"/>
    <col min="3570" max="3570" width="5" style="3" customWidth="1"/>
    <col min="3571" max="3571" width="6" style="3" customWidth="1"/>
    <col min="3572" max="3572" width="6.53125" style="3" customWidth="1"/>
    <col min="3573" max="3573" width="5" style="3" customWidth="1"/>
    <col min="3574" max="3574" width="6.796875" style="3" customWidth="1"/>
    <col min="3575" max="3815" width="9.19921875" style="3"/>
    <col min="3816" max="3816" width="3.19921875" style="3" customWidth="1"/>
    <col min="3817" max="3817" width="36" style="3" customWidth="1"/>
    <col min="3818" max="3818" width="8.19921875" style="3" customWidth="1"/>
    <col min="3819" max="3819" width="12.796875" style="3" customWidth="1"/>
    <col min="3820" max="3820" width="5.796875" style="3" customWidth="1"/>
    <col min="3821" max="3821" width="7.46484375" style="3" customWidth="1"/>
    <col min="3822" max="3822" width="7.19921875" style="3" customWidth="1"/>
    <col min="3823" max="3823" width="6.796875" style="3" customWidth="1"/>
    <col min="3824" max="3824" width="6" style="3" customWidth="1"/>
    <col min="3825" max="3825" width="6.53125" style="3" customWidth="1"/>
    <col min="3826" max="3826" width="5" style="3" customWidth="1"/>
    <col min="3827" max="3827" width="6" style="3" customWidth="1"/>
    <col min="3828" max="3828" width="6.53125" style="3" customWidth="1"/>
    <col min="3829" max="3829" width="5" style="3" customWidth="1"/>
    <col min="3830" max="3830" width="6.796875" style="3" customWidth="1"/>
    <col min="3831" max="4071" width="9.19921875" style="3"/>
    <col min="4072" max="4072" width="3.19921875" style="3" customWidth="1"/>
    <col min="4073" max="4073" width="36" style="3" customWidth="1"/>
    <col min="4074" max="4074" width="8.19921875" style="3" customWidth="1"/>
    <col min="4075" max="4075" width="12.796875" style="3" customWidth="1"/>
    <col min="4076" max="4076" width="5.796875" style="3" customWidth="1"/>
    <col min="4077" max="4077" width="7.46484375" style="3" customWidth="1"/>
    <col min="4078" max="4078" width="7.19921875" style="3" customWidth="1"/>
    <col min="4079" max="4079" width="6.796875" style="3" customWidth="1"/>
    <col min="4080" max="4080" width="6" style="3" customWidth="1"/>
    <col min="4081" max="4081" width="6.53125" style="3" customWidth="1"/>
    <col min="4082" max="4082" width="5" style="3" customWidth="1"/>
    <col min="4083" max="4083" width="6" style="3" customWidth="1"/>
    <col min="4084" max="4084" width="6.53125" style="3" customWidth="1"/>
    <col min="4085" max="4085" width="5" style="3" customWidth="1"/>
    <col min="4086" max="4086" width="6.796875" style="3" customWidth="1"/>
    <col min="4087" max="4327" width="9.19921875" style="3"/>
    <col min="4328" max="4328" width="3.19921875" style="3" customWidth="1"/>
    <col min="4329" max="4329" width="36" style="3" customWidth="1"/>
    <col min="4330" max="4330" width="8.19921875" style="3" customWidth="1"/>
    <col min="4331" max="4331" width="12.796875" style="3" customWidth="1"/>
    <col min="4332" max="4332" width="5.796875" style="3" customWidth="1"/>
    <col min="4333" max="4333" width="7.46484375" style="3" customWidth="1"/>
    <col min="4334" max="4334" width="7.19921875" style="3" customWidth="1"/>
    <col min="4335" max="4335" width="6.796875" style="3" customWidth="1"/>
    <col min="4336" max="4336" width="6" style="3" customWidth="1"/>
    <col min="4337" max="4337" width="6.53125" style="3" customWidth="1"/>
    <col min="4338" max="4338" width="5" style="3" customWidth="1"/>
    <col min="4339" max="4339" width="6" style="3" customWidth="1"/>
    <col min="4340" max="4340" width="6.53125" style="3" customWidth="1"/>
    <col min="4341" max="4341" width="5" style="3" customWidth="1"/>
    <col min="4342" max="4342" width="6.796875" style="3" customWidth="1"/>
    <col min="4343" max="4583" width="9.19921875" style="3"/>
    <col min="4584" max="4584" width="3.19921875" style="3" customWidth="1"/>
    <col min="4585" max="4585" width="36" style="3" customWidth="1"/>
    <col min="4586" max="4586" width="8.19921875" style="3" customWidth="1"/>
    <col min="4587" max="4587" width="12.796875" style="3" customWidth="1"/>
    <col min="4588" max="4588" width="5.796875" style="3" customWidth="1"/>
    <col min="4589" max="4589" width="7.46484375" style="3" customWidth="1"/>
    <col min="4590" max="4590" width="7.19921875" style="3" customWidth="1"/>
    <col min="4591" max="4591" width="6.796875" style="3" customWidth="1"/>
    <col min="4592" max="4592" width="6" style="3" customWidth="1"/>
    <col min="4593" max="4593" width="6.53125" style="3" customWidth="1"/>
    <col min="4594" max="4594" width="5" style="3" customWidth="1"/>
    <col min="4595" max="4595" width="6" style="3" customWidth="1"/>
    <col min="4596" max="4596" width="6.53125" style="3" customWidth="1"/>
    <col min="4597" max="4597" width="5" style="3" customWidth="1"/>
    <col min="4598" max="4598" width="6.796875" style="3" customWidth="1"/>
    <col min="4599" max="4839" width="9.19921875" style="3"/>
    <col min="4840" max="4840" width="3.19921875" style="3" customWidth="1"/>
    <col min="4841" max="4841" width="36" style="3" customWidth="1"/>
    <col min="4842" max="4842" width="8.19921875" style="3" customWidth="1"/>
    <col min="4843" max="4843" width="12.796875" style="3" customWidth="1"/>
    <col min="4844" max="4844" width="5.796875" style="3" customWidth="1"/>
    <col min="4845" max="4845" width="7.46484375" style="3" customWidth="1"/>
    <col min="4846" max="4846" width="7.19921875" style="3" customWidth="1"/>
    <col min="4847" max="4847" width="6.796875" style="3" customWidth="1"/>
    <col min="4848" max="4848" width="6" style="3" customWidth="1"/>
    <col min="4849" max="4849" width="6.53125" style="3" customWidth="1"/>
    <col min="4850" max="4850" width="5" style="3" customWidth="1"/>
    <col min="4851" max="4851" width="6" style="3" customWidth="1"/>
    <col min="4852" max="4852" width="6.53125" style="3" customWidth="1"/>
    <col min="4853" max="4853" width="5" style="3" customWidth="1"/>
    <col min="4854" max="4854" width="6.796875" style="3" customWidth="1"/>
    <col min="4855" max="5095" width="9.19921875" style="3"/>
    <col min="5096" max="5096" width="3.19921875" style="3" customWidth="1"/>
    <col min="5097" max="5097" width="36" style="3" customWidth="1"/>
    <col min="5098" max="5098" width="8.19921875" style="3" customWidth="1"/>
    <col min="5099" max="5099" width="12.796875" style="3" customWidth="1"/>
    <col min="5100" max="5100" width="5.796875" style="3" customWidth="1"/>
    <col min="5101" max="5101" width="7.46484375" style="3" customWidth="1"/>
    <col min="5102" max="5102" width="7.19921875" style="3" customWidth="1"/>
    <col min="5103" max="5103" width="6.796875" style="3" customWidth="1"/>
    <col min="5104" max="5104" width="6" style="3" customWidth="1"/>
    <col min="5105" max="5105" width="6.53125" style="3" customWidth="1"/>
    <col min="5106" max="5106" width="5" style="3" customWidth="1"/>
    <col min="5107" max="5107" width="6" style="3" customWidth="1"/>
    <col min="5108" max="5108" width="6.53125" style="3" customWidth="1"/>
    <col min="5109" max="5109" width="5" style="3" customWidth="1"/>
    <col min="5110" max="5110" width="6.796875" style="3" customWidth="1"/>
    <col min="5111" max="5351" width="9.19921875" style="3"/>
    <col min="5352" max="5352" width="3.19921875" style="3" customWidth="1"/>
    <col min="5353" max="5353" width="36" style="3" customWidth="1"/>
    <col min="5354" max="5354" width="8.19921875" style="3" customWidth="1"/>
    <col min="5355" max="5355" width="12.796875" style="3" customWidth="1"/>
    <col min="5356" max="5356" width="5.796875" style="3" customWidth="1"/>
    <col min="5357" max="5357" width="7.46484375" style="3" customWidth="1"/>
    <col min="5358" max="5358" width="7.19921875" style="3" customWidth="1"/>
    <col min="5359" max="5359" width="6.796875" style="3" customWidth="1"/>
    <col min="5360" max="5360" width="6" style="3" customWidth="1"/>
    <col min="5361" max="5361" width="6.53125" style="3" customWidth="1"/>
    <col min="5362" max="5362" width="5" style="3" customWidth="1"/>
    <col min="5363" max="5363" width="6" style="3" customWidth="1"/>
    <col min="5364" max="5364" width="6.53125" style="3" customWidth="1"/>
    <col min="5365" max="5365" width="5" style="3" customWidth="1"/>
    <col min="5366" max="5366" width="6.796875" style="3" customWidth="1"/>
    <col min="5367" max="5607" width="9.19921875" style="3"/>
    <col min="5608" max="5608" width="3.19921875" style="3" customWidth="1"/>
    <col min="5609" max="5609" width="36" style="3" customWidth="1"/>
    <col min="5610" max="5610" width="8.19921875" style="3" customWidth="1"/>
    <col min="5611" max="5611" width="12.796875" style="3" customWidth="1"/>
    <col min="5612" max="5612" width="5.796875" style="3" customWidth="1"/>
    <col min="5613" max="5613" width="7.46484375" style="3" customWidth="1"/>
    <col min="5614" max="5614" width="7.19921875" style="3" customWidth="1"/>
    <col min="5615" max="5615" width="6.796875" style="3" customWidth="1"/>
    <col min="5616" max="5616" width="6" style="3" customWidth="1"/>
    <col min="5617" max="5617" width="6.53125" style="3" customWidth="1"/>
    <col min="5618" max="5618" width="5" style="3" customWidth="1"/>
    <col min="5619" max="5619" width="6" style="3" customWidth="1"/>
    <col min="5620" max="5620" width="6.53125" style="3" customWidth="1"/>
    <col min="5621" max="5621" width="5" style="3" customWidth="1"/>
    <col min="5622" max="5622" width="6.796875" style="3" customWidth="1"/>
    <col min="5623" max="5863" width="9.19921875" style="3"/>
    <col min="5864" max="5864" width="3.19921875" style="3" customWidth="1"/>
    <col min="5865" max="5865" width="36" style="3" customWidth="1"/>
    <col min="5866" max="5866" width="8.19921875" style="3" customWidth="1"/>
    <col min="5867" max="5867" width="12.796875" style="3" customWidth="1"/>
    <col min="5868" max="5868" width="5.796875" style="3" customWidth="1"/>
    <col min="5869" max="5869" width="7.46484375" style="3" customWidth="1"/>
    <col min="5870" max="5870" width="7.19921875" style="3" customWidth="1"/>
    <col min="5871" max="5871" width="6.796875" style="3" customWidth="1"/>
    <col min="5872" max="5872" width="6" style="3" customWidth="1"/>
    <col min="5873" max="5873" width="6.53125" style="3" customWidth="1"/>
    <col min="5874" max="5874" width="5" style="3" customWidth="1"/>
    <col min="5875" max="5875" width="6" style="3" customWidth="1"/>
    <col min="5876" max="5876" width="6.53125" style="3" customWidth="1"/>
    <col min="5877" max="5877" width="5" style="3" customWidth="1"/>
    <col min="5878" max="5878" width="6.796875" style="3" customWidth="1"/>
    <col min="5879" max="6119" width="9.19921875" style="3"/>
    <col min="6120" max="6120" width="3.19921875" style="3" customWidth="1"/>
    <col min="6121" max="6121" width="36" style="3" customWidth="1"/>
    <col min="6122" max="6122" width="8.19921875" style="3" customWidth="1"/>
    <col min="6123" max="6123" width="12.796875" style="3" customWidth="1"/>
    <col min="6124" max="6124" width="5.796875" style="3" customWidth="1"/>
    <col min="6125" max="6125" width="7.46484375" style="3" customWidth="1"/>
    <col min="6126" max="6126" width="7.19921875" style="3" customWidth="1"/>
    <col min="6127" max="6127" width="6.796875" style="3" customWidth="1"/>
    <col min="6128" max="6128" width="6" style="3" customWidth="1"/>
    <col min="6129" max="6129" width="6.53125" style="3" customWidth="1"/>
    <col min="6130" max="6130" width="5" style="3" customWidth="1"/>
    <col min="6131" max="6131" width="6" style="3" customWidth="1"/>
    <col min="6132" max="6132" width="6.53125" style="3" customWidth="1"/>
    <col min="6133" max="6133" width="5" style="3" customWidth="1"/>
    <col min="6134" max="6134" width="6.796875" style="3" customWidth="1"/>
    <col min="6135" max="6375" width="9.19921875" style="3"/>
    <col min="6376" max="6376" width="3.19921875" style="3" customWidth="1"/>
    <col min="6377" max="6377" width="36" style="3" customWidth="1"/>
    <col min="6378" max="6378" width="8.19921875" style="3" customWidth="1"/>
    <col min="6379" max="6379" width="12.796875" style="3" customWidth="1"/>
    <col min="6380" max="6380" width="5.796875" style="3" customWidth="1"/>
    <col min="6381" max="6381" width="7.46484375" style="3" customWidth="1"/>
    <col min="6382" max="6382" width="7.19921875" style="3" customWidth="1"/>
    <col min="6383" max="6383" width="6.796875" style="3" customWidth="1"/>
    <col min="6384" max="6384" width="6" style="3" customWidth="1"/>
    <col min="6385" max="6385" width="6.53125" style="3" customWidth="1"/>
    <col min="6386" max="6386" width="5" style="3" customWidth="1"/>
    <col min="6387" max="6387" width="6" style="3" customWidth="1"/>
    <col min="6388" max="6388" width="6.53125" style="3" customWidth="1"/>
    <col min="6389" max="6389" width="5" style="3" customWidth="1"/>
    <col min="6390" max="6390" width="6.796875" style="3" customWidth="1"/>
    <col min="6391" max="6631" width="9.19921875" style="3"/>
    <col min="6632" max="6632" width="3.19921875" style="3" customWidth="1"/>
    <col min="6633" max="6633" width="36" style="3" customWidth="1"/>
    <col min="6634" max="6634" width="8.19921875" style="3" customWidth="1"/>
    <col min="6635" max="6635" width="12.796875" style="3" customWidth="1"/>
    <col min="6636" max="6636" width="5.796875" style="3" customWidth="1"/>
    <col min="6637" max="6637" width="7.46484375" style="3" customWidth="1"/>
    <col min="6638" max="6638" width="7.19921875" style="3" customWidth="1"/>
    <col min="6639" max="6639" width="6.796875" style="3" customWidth="1"/>
    <col min="6640" max="6640" width="6" style="3" customWidth="1"/>
    <col min="6641" max="6641" width="6.53125" style="3" customWidth="1"/>
    <col min="6642" max="6642" width="5" style="3" customWidth="1"/>
    <col min="6643" max="6643" width="6" style="3" customWidth="1"/>
    <col min="6644" max="6644" width="6.53125" style="3" customWidth="1"/>
    <col min="6645" max="6645" width="5" style="3" customWidth="1"/>
    <col min="6646" max="6646" width="6.796875" style="3" customWidth="1"/>
    <col min="6647" max="6887" width="9.19921875" style="3"/>
    <col min="6888" max="6888" width="3.19921875" style="3" customWidth="1"/>
    <col min="6889" max="6889" width="36" style="3" customWidth="1"/>
    <col min="6890" max="6890" width="8.19921875" style="3" customWidth="1"/>
    <col min="6891" max="6891" width="12.796875" style="3" customWidth="1"/>
    <col min="6892" max="6892" width="5.796875" style="3" customWidth="1"/>
    <col min="6893" max="6893" width="7.46484375" style="3" customWidth="1"/>
    <col min="6894" max="6894" width="7.19921875" style="3" customWidth="1"/>
    <col min="6895" max="6895" width="6.796875" style="3" customWidth="1"/>
    <col min="6896" max="6896" width="6" style="3" customWidth="1"/>
    <col min="6897" max="6897" width="6.53125" style="3" customWidth="1"/>
    <col min="6898" max="6898" width="5" style="3" customWidth="1"/>
    <col min="6899" max="6899" width="6" style="3" customWidth="1"/>
    <col min="6900" max="6900" width="6.53125" style="3" customWidth="1"/>
    <col min="6901" max="6901" width="5" style="3" customWidth="1"/>
    <col min="6902" max="6902" width="6.796875" style="3" customWidth="1"/>
    <col min="6903" max="7143" width="9.19921875" style="3"/>
    <col min="7144" max="7144" width="3.19921875" style="3" customWidth="1"/>
    <col min="7145" max="7145" width="36" style="3" customWidth="1"/>
    <col min="7146" max="7146" width="8.19921875" style="3" customWidth="1"/>
    <col min="7147" max="7147" width="12.796875" style="3" customWidth="1"/>
    <col min="7148" max="7148" width="5.796875" style="3" customWidth="1"/>
    <col min="7149" max="7149" width="7.46484375" style="3" customWidth="1"/>
    <col min="7150" max="7150" width="7.19921875" style="3" customWidth="1"/>
    <col min="7151" max="7151" width="6.796875" style="3" customWidth="1"/>
    <col min="7152" max="7152" width="6" style="3" customWidth="1"/>
    <col min="7153" max="7153" width="6.53125" style="3" customWidth="1"/>
    <col min="7154" max="7154" width="5" style="3" customWidth="1"/>
    <col min="7155" max="7155" width="6" style="3" customWidth="1"/>
    <col min="7156" max="7156" width="6.53125" style="3" customWidth="1"/>
    <col min="7157" max="7157" width="5" style="3" customWidth="1"/>
    <col min="7158" max="7158" width="6.796875" style="3" customWidth="1"/>
    <col min="7159" max="7399" width="9.19921875" style="3"/>
    <col min="7400" max="7400" width="3.19921875" style="3" customWidth="1"/>
    <col min="7401" max="7401" width="36" style="3" customWidth="1"/>
    <col min="7402" max="7402" width="8.19921875" style="3" customWidth="1"/>
    <col min="7403" max="7403" width="12.796875" style="3" customWidth="1"/>
    <col min="7404" max="7404" width="5.796875" style="3" customWidth="1"/>
    <col min="7405" max="7405" width="7.46484375" style="3" customWidth="1"/>
    <col min="7406" max="7406" width="7.19921875" style="3" customWidth="1"/>
    <col min="7407" max="7407" width="6.796875" style="3" customWidth="1"/>
    <col min="7408" max="7408" width="6" style="3" customWidth="1"/>
    <col min="7409" max="7409" width="6.53125" style="3" customWidth="1"/>
    <col min="7410" max="7410" width="5" style="3" customWidth="1"/>
    <col min="7411" max="7411" width="6" style="3" customWidth="1"/>
    <col min="7412" max="7412" width="6.53125" style="3" customWidth="1"/>
    <col min="7413" max="7413" width="5" style="3" customWidth="1"/>
    <col min="7414" max="7414" width="6.796875" style="3" customWidth="1"/>
    <col min="7415" max="7655" width="9.19921875" style="3"/>
    <col min="7656" max="7656" width="3.19921875" style="3" customWidth="1"/>
    <col min="7657" max="7657" width="36" style="3" customWidth="1"/>
    <col min="7658" max="7658" width="8.19921875" style="3" customWidth="1"/>
    <col min="7659" max="7659" width="12.796875" style="3" customWidth="1"/>
    <col min="7660" max="7660" width="5.796875" style="3" customWidth="1"/>
    <col min="7661" max="7661" width="7.46484375" style="3" customWidth="1"/>
    <col min="7662" max="7662" width="7.19921875" style="3" customWidth="1"/>
    <col min="7663" max="7663" width="6.796875" style="3" customWidth="1"/>
    <col min="7664" max="7664" width="6" style="3" customWidth="1"/>
    <col min="7665" max="7665" width="6.53125" style="3" customWidth="1"/>
    <col min="7666" max="7666" width="5" style="3" customWidth="1"/>
    <col min="7667" max="7667" width="6" style="3" customWidth="1"/>
    <col min="7668" max="7668" width="6.53125" style="3" customWidth="1"/>
    <col min="7669" max="7669" width="5" style="3" customWidth="1"/>
    <col min="7670" max="7670" width="6.796875" style="3" customWidth="1"/>
    <col min="7671" max="7911" width="9.19921875" style="3"/>
    <col min="7912" max="7912" width="3.19921875" style="3" customWidth="1"/>
    <col min="7913" max="7913" width="36" style="3" customWidth="1"/>
    <col min="7914" max="7914" width="8.19921875" style="3" customWidth="1"/>
    <col min="7915" max="7915" width="12.796875" style="3" customWidth="1"/>
    <col min="7916" max="7916" width="5.796875" style="3" customWidth="1"/>
    <col min="7917" max="7917" width="7.46484375" style="3" customWidth="1"/>
    <col min="7918" max="7918" width="7.19921875" style="3" customWidth="1"/>
    <col min="7919" max="7919" width="6.796875" style="3" customWidth="1"/>
    <col min="7920" max="7920" width="6" style="3" customWidth="1"/>
    <col min="7921" max="7921" width="6.53125" style="3" customWidth="1"/>
    <col min="7922" max="7922" width="5" style="3" customWidth="1"/>
    <col min="7923" max="7923" width="6" style="3" customWidth="1"/>
    <col min="7924" max="7924" width="6.53125" style="3" customWidth="1"/>
    <col min="7925" max="7925" width="5" style="3" customWidth="1"/>
    <col min="7926" max="7926" width="6.796875" style="3" customWidth="1"/>
    <col min="7927" max="8167" width="9.19921875" style="3"/>
    <col min="8168" max="8168" width="3.19921875" style="3" customWidth="1"/>
    <col min="8169" max="8169" width="36" style="3" customWidth="1"/>
    <col min="8170" max="8170" width="8.19921875" style="3" customWidth="1"/>
    <col min="8171" max="8171" width="12.796875" style="3" customWidth="1"/>
    <col min="8172" max="8172" width="5.796875" style="3" customWidth="1"/>
    <col min="8173" max="8173" width="7.46484375" style="3" customWidth="1"/>
    <col min="8174" max="8174" width="7.19921875" style="3" customWidth="1"/>
    <col min="8175" max="8175" width="6.796875" style="3" customWidth="1"/>
    <col min="8176" max="8176" width="6" style="3" customWidth="1"/>
    <col min="8177" max="8177" width="6.53125" style="3" customWidth="1"/>
    <col min="8178" max="8178" width="5" style="3" customWidth="1"/>
    <col min="8179" max="8179" width="6" style="3" customWidth="1"/>
    <col min="8180" max="8180" width="6.53125" style="3" customWidth="1"/>
    <col min="8181" max="8181" width="5" style="3" customWidth="1"/>
    <col min="8182" max="8182" width="6.796875" style="3" customWidth="1"/>
    <col min="8183" max="8423" width="9.19921875" style="3"/>
    <col min="8424" max="8424" width="3.19921875" style="3" customWidth="1"/>
    <col min="8425" max="8425" width="36" style="3" customWidth="1"/>
    <col min="8426" max="8426" width="8.19921875" style="3" customWidth="1"/>
    <col min="8427" max="8427" width="12.796875" style="3" customWidth="1"/>
    <col min="8428" max="8428" width="5.796875" style="3" customWidth="1"/>
    <col min="8429" max="8429" width="7.46484375" style="3" customWidth="1"/>
    <col min="8430" max="8430" width="7.19921875" style="3" customWidth="1"/>
    <col min="8431" max="8431" width="6.796875" style="3" customWidth="1"/>
    <col min="8432" max="8432" width="6" style="3" customWidth="1"/>
    <col min="8433" max="8433" width="6.53125" style="3" customWidth="1"/>
    <col min="8434" max="8434" width="5" style="3" customWidth="1"/>
    <col min="8435" max="8435" width="6" style="3" customWidth="1"/>
    <col min="8436" max="8436" width="6.53125" style="3" customWidth="1"/>
    <col min="8437" max="8437" width="5" style="3" customWidth="1"/>
    <col min="8438" max="8438" width="6.796875" style="3" customWidth="1"/>
    <col min="8439" max="8679" width="9.19921875" style="3"/>
    <col min="8680" max="8680" width="3.19921875" style="3" customWidth="1"/>
    <col min="8681" max="8681" width="36" style="3" customWidth="1"/>
    <col min="8682" max="8682" width="8.19921875" style="3" customWidth="1"/>
    <col min="8683" max="8683" width="12.796875" style="3" customWidth="1"/>
    <col min="8684" max="8684" width="5.796875" style="3" customWidth="1"/>
    <col min="8685" max="8685" width="7.46484375" style="3" customWidth="1"/>
    <col min="8686" max="8686" width="7.19921875" style="3" customWidth="1"/>
    <col min="8687" max="8687" width="6.796875" style="3" customWidth="1"/>
    <col min="8688" max="8688" width="6" style="3" customWidth="1"/>
    <col min="8689" max="8689" width="6.53125" style="3" customWidth="1"/>
    <col min="8690" max="8690" width="5" style="3" customWidth="1"/>
    <col min="8691" max="8691" width="6" style="3" customWidth="1"/>
    <col min="8692" max="8692" width="6.53125" style="3" customWidth="1"/>
    <col min="8693" max="8693" width="5" style="3" customWidth="1"/>
    <col min="8694" max="8694" width="6.796875" style="3" customWidth="1"/>
    <col min="8695" max="8935" width="9.19921875" style="3"/>
    <col min="8936" max="8936" width="3.19921875" style="3" customWidth="1"/>
    <col min="8937" max="8937" width="36" style="3" customWidth="1"/>
    <col min="8938" max="8938" width="8.19921875" style="3" customWidth="1"/>
    <col min="8939" max="8939" width="12.796875" style="3" customWidth="1"/>
    <col min="8940" max="8940" width="5.796875" style="3" customWidth="1"/>
    <col min="8941" max="8941" width="7.46484375" style="3" customWidth="1"/>
    <col min="8942" max="8942" width="7.19921875" style="3" customWidth="1"/>
    <col min="8943" max="8943" width="6.796875" style="3" customWidth="1"/>
    <col min="8944" max="8944" width="6" style="3" customWidth="1"/>
    <col min="8945" max="8945" width="6.53125" style="3" customWidth="1"/>
    <col min="8946" max="8946" width="5" style="3" customWidth="1"/>
    <col min="8947" max="8947" width="6" style="3" customWidth="1"/>
    <col min="8948" max="8948" width="6.53125" style="3" customWidth="1"/>
    <col min="8949" max="8949" width="5" style="3" customWidth="1"/>
    <col min="8950" max="8950" width="6.796875" style="3" customWidth="1"/>
    <col min="8951" max="9191" width="9.19921875" style="3"/>
    <col min="9192" max="9192" width="3.19921875" style="3" customWidth="1"/>
    <col min="9193" max="9193" width="36" style="3" customWidth="1"/>
    <col min="9194" max="9194" width="8.19921875" style="3" customWidth="1"/>
    <col min="9195" max="9195" width="12.796875" style="3" customWidth="1"/>
    <col min="9196" max="9196" width="5.796875" style="3" customWidth="1"/>
    <col min="9197" max="9197" width="7.46484375" style="3" customWidth="1"/>
    <col min="9198" max="9198" width="7.19921875" style="3" customWidth="1"/>
    <col min="9199" max="9199" width="6.796875" style="3" customWidth="1"/>
    <col min="9200" max="9200" width="6" style="3" customWidth="1"/>
    <col min="9201" max="9201" width="6.53125" style="3" customWidth="1"/>
    <col min="9202" max="9202" width="5" style="3" customWidth="1"/>
    <col min="9203" max="9203" width="6" style="3" customWidth="1"/>
    <col min="9204" max="9204" width="6.53125" style="3" customWidth="1"/>
    <col min="9205" max="9205" width="5" style="3" customWidth="1"/>
    <col min="9206" max="9206" width="6.796875" style="3" customWidth="1"/>
    <col min="9207" max="9447" width="9.19921875" style="3"/>
    <col min="9448" max="9448" width="3.19921875" style="3" customWidth="1"/>
    <col min="9449" max="9449" width="36" style="3" customWidth="1"/>
    <col min="9450" max="9450" width="8.19921875" style="3" customWidth="1"/>
    <col min="9451" max="9451" width="12.796875" style="3" customWidth="1"/>
    <col min="9452" max="9452" width="5.796875" style="3" customWidth="1"/>
    <col min="9453" max="9453" width="7.46484375" style="3" customWidth="1"/>
    <col min="9454" max="9454" width="7.19921875" style="3" customWidth="1"/>
    <col min="9455" max="9455" width="6.796875" style="3" customWidth="1"/>
    <col min="9456" max="9456" width="6" style="3" customWidth="1"/>
    <col min="9457" max="9457" width="6.53125" style="3" customWidth="1"/>
    <col min="9458" max="9458" width="5" style="3" customWidth="1"/>
    <col min="9459" max="9459" width="6" style="3" customWidth="1"/>
    <col min="9460" max="9460" width="6.53125" style="3" customWidth="1"/>
    <col min="9461" max="9461" width="5" style="3" customWidth="1"/>
    <col min="9462" max="9462" width="6.796875" style="3" customWidth="1"/>
    <col min="9463" max="9703" width="9.19921875" style="3"/>
    <col min="9704" max="9704" width="3.19921875" style="3" customWidth="1"/>
    <col min="9705" max="9705" width="36" style="3" customWidth="1"/>
    <col min="9706" max="9706" width="8.19921875" style="3" customWidth="1"/>
    <col min="9707" max="9707" width="12.796875" style="3" customWidth="1"/>
    <col min="9708" max="9708" width="5.796875" style="3" customWidth="1"/>
    <col min="9709" max="9709" width="7.46484375" style="3" customWidth="1"/>
    <col min="9710" max="9710" width="7.19921875" style="3" customWidth="1"/>
    <col min="9711" max="9711" width="6.796875" style="3" customWidth="1"/>
    <col min="9712" max="9712" width="6" style="3" customWidth="1"/>
    <col min="9713" max="9713" width="6.53125" style="3" customWidth="1"/>
    <col min="9714" max="9714" width="5" style="3" customWidth="1"/>
    <col min="9715" max="9715" width="6" style="3" customWidth="1"/>
    <col min="9716" max="9716" width="6.53125" style="3" customWidth="1"/>
    <col min="9717" max="9717" width="5" style="3" customWidth="1"/>
    <col min="9718" max="9718" width="6.796875" style="3" customWidth="1"/>
    <col min="9719" max="9959" width="9.19921875" style="3"/>
    <col min="9960" max="9960" width="3.19921875" style="3" customWidth="1"/>
    <col min="9961" max="9961" width="36" style="3" customWidth="1"/>
    <col min="9962" max="9962" width="8.19921875" style="3" customWidth="1"/>
    <col min="9963" max="9963" width="12.796875" style="3" customWidth="1"/>
    <col min="9964" max="9964" width="5.796875" style="3" customWidth="1"/>
    <col min="9965" max="9965" width="7.46484375" style="3" customWidth="1"/>
    <col min="9966" max="9966" width="7.19921875" style="3" customWidth="1"/>
    <col min="9967" max="9967" width="6.796875" style="3" customWidth="1"/>
    <col min="9968" max="9968" width="6" style="3" customWidth="1"/>
    <col min="9969" max="9969" width="6.53125" style="3" customWidth="1"/>
    <col min="9970" max="9970" width="5" style="3" customWidth="1"/>
    <col min="9971" max="9971" width="6" style="3" customWidth="1"/>
    <col min="9972" max="9972" width="6.53125" style="3" customWidth="1"/>
    <col min="9973" max="9973" width="5" style="3" customWidth="1"/>
    <col min="9974" max="9974" width="6.796875" style="3" customWidth="1"/>
    <col min="9975" max="10215" width="9.19921875" style="3"/>
    <col min="10216" max="10216" width="3.19921875" style="3" customWidth="1"/>
    <col min="10217" max="10217" width="36" style="3" customWidth="1"/>
    <col min="10218" max="10218" width="8.19921875" style="3" customWidth="1"/>
    <col min="10219" max="10219" width="12.796875" style="3" customWidth="1"/>
    <col min="10220" max="10220" width="5.796875" style="3" customWidth="1"/>
    <col min="10221" max="10221" width="7.46484375" style="3" customWidth="1"/>
    <col min="10222" max="10222" width="7.19921875" style="3" customWidth="1"/>
    <col min="10223" max="10223" width="6.796875" style="3" customWidth="1"/>
    <col min="10224" max="10224" width="6" style="3" customWidth="1"/>
    <col min="10225" max="10225" width="6.53125" style="3" customWidth="1"/>
    <col min="10226" max="10226" width="5" style="3" customWidth="1"/>
    <col min="10227" max="10227" width="6" style="3" customWidth="1"/>
    <col min="10228" max="10228" width="6.53125" style="3" customWidth="1"/>
    <col min="10229" max="10229" width="5" style="3" customWidth="1"/>
    <col min="10230" max="10230" width="6.796875" style="3" customWidth="1"/>
    <col min="10231" max="10471" width="9.19921875" style="3"/>
    <col min="10472" max="10472" width="3.19921875" style="3" customWidth="1"/>
    <col min="10473" max="10473" width="36" style="3" customWidth="1"/>
    <col min="10474" max="10474" width="8.19921875" style="3" customWidth="1"/>
    <col min="10475" max="10475" width="12.796875" style="3" customWidth="1"/>
    <col min="10476" max="10476" width="5.796875" style="3" customWidth="1"/>
    <col min="10477" max="10477" width="7.46484375" style="3" customWidth="1"/>
    <col min="10478" max="10478" width="7.19921875" style="3" customWidth="1"/>
    <col min="10479" max="10479" width="6.796875" style="3" customWidth="1"/>
    <col min="10480" max="10480" width="6" style="3" customWidth="1"/>
    <col min="10481" max="10481" width="6.53125" style="3" customWidth="1"/>
    <col min="10482" max="10482" width="5" style="3" customWidth="1"/>
    <col min="10483" max="10483" width="6" style="3" customWidth="1"/>
    <col min="10484" max="10484" width="6.53125" style="3" customWidth="1"/>
    <col min="10485" max="10485" width="5" style="3" customWidth="1"/>
    <col min="10486" max="10486" width="6.796875" style="3" customWidth="1"/>
    <col min="10487" max="10727" width="9.19921875" style="3"/>
    <col min="10728" max="10728" width="3.19921875" style="3" customWidth="1"/>
    <col min="10729" max="10729" width="36" style="3" customWidth="1"/>
    <col min="10730" max="10730" width="8.19921875" style="3" customWidth="1"/>
    <col min="10731" max="10731" width="12.796875" style="3" customWidth="1"/>
    <col min="10732" max="10732" width="5.796875" style="3" customWidth="1"/>
    <col min="10733" max="10733" width="7.46484375" style="3" customWidth="1"/>
    <col min="10734" max="10734" width="7.19921875" style="3" customWidth="1"/>
    <col min="10735" max="10735" width="6.796875" style="3" customWidth="1"/>
    <col min="10736" max="10736" width="6" style="3" customWidth="1"/>
    <col min="10737" max="10737" width="6.53125" style="3" customWidth="1"/>
    <col min="10738" max="10738" width="5" style="3" customWidth="1"/>
    <col min="10739" max="10739" width="6" style="3" customWidth="1"/>
    <col min="10740" max="10740" width="6.53125" style="3" customWidth="1"/>
    <col min="10741" max="10741" width="5" style="3" customWidth="1"/>
    <col min="10742" max="10742" width="6.796875" style="3" customWidth="1"/>
    <col min="10743" max="10983" width="9.19921875" style="3"/>
    <col min="10984" max="10984" width="3.19921875" style="3" customWidth="1"/>
    <col min="10985" max="10985" width="36" style="3" customWidth="1"/>
    <col min="10986" max="10986" width="8.19921875" style="3" customWidth="1"/>
    <col min="10987" max="10987" width="12.796875" style="3" customWidth="1"/>
    <col min="10988" max="10988" width="5.796875" style="3" customWidth="1"/>
    <col min="10989" max="10989" width="7.46484375" style="3" customWidth="1"/>
    <col min="10990" max="10990" width="7.19921875" style="3" customWidth="1"/>
    <col min="10991" max="10991" width="6.796875" style="3" customWidth="1"/>
    <col min="10992" max="10992" width="6" style="3" customWidth="1"/>
    <col min="10993" max="10993" width="6.53125" style="3" customWidth="1"/>
    <col min="10994" max="10994" width="5" style="3" customWidth="1"/>
    <col min="10995" max="10995" width="6" style="3" customWidth="1"/>
    <col min="10996" max="10996" width="6.53125" style="3" customWidth="1"/>
    <col min="10997" max="10997" width="5" style="3" customWidth="1"/>
    <col min="10998" max="10998" width="6.796875" style="3" customWidth="1"/>
    <col min="10999" max="11239" width="9.19921875" style="3"/>
    <col min="11240" max="11240" width="3.19921875" style="3" customWidth="1"/>
    <col min="11241" max="11241" width="36" style="3" customWidth="1"/>
    <col min="11242" max="11242" width="8.19921875" style="3" customWidth="1"/>
    <col min="11243" max="11243" width="12.796875" style="3" customWidth="1"/>
    <col min="11244" max="11244" width="5.796875" style="3" customWidth="1"/>
    <col min="11245" max="11245" width="7.46484375" style="3" customWidth="1"/>
    <col min="11246" max="11246" width="7.19921875" style="3" customWidth="1"/>
    <col min="11247" max="11247" width="6.796875" style="3" customWidth="1"/>
    <col min="11248" max="11248" width="6" style="3" customWidth="1"/>
    <col min="11249" max="11249" width="6.53125" style="3" customWidth="1"/>
    <col min="11250" max="11250" width="5" style="3" customWidth="1"/>
    <col min="11251" max="11251" width="6" style="3" customWidth="1"/>
    <col min="11252" max="11252" width="6.53125" style="3" customWidth="1"/>
    <col min="11253" max="11253" width="5" style="3" customWidth="1"/>
    <col min="11254" max="11254" width="6.796875" style="3" customWidth="1"/>
    <col min="11255" max="11495" width="9.19921875" style="3"/>
    <col min="11496" max="11496" width="3.19921875" style="3" customWidth="1"/>
    <col min="11497" max="11497" width="36" style="3" customWidth="1"/>
    <col min="11498" max="11498" width="8.19921875" style="3" customWidth="1"/>
    <col min="11499" max="11499" width="12.796875" style="3" customWidth="1"/>
    <col min="11500" max="11500" width="5.796875" style="3" customWidth="1"/>
    <col min="11501" max="11501" width="7.46484375" style="3" customWidth="1"/>
    <col min="11502" max="11502" width="7.19921875" style="3" customWidth="1"/>
    <col min="11503" max="11503" width="6.796875" style="3" customWidth="1"/>
    <col min="11504" max="11504" width="6" style="3" customWidth="1"/>
    <col min="11505" max="11505" width="6.53125" style="3" customWidth="1"/>
    <col min="11506" max="11506" width="5" style="3" customWidth="1"/>
    <col min="11507" max="11507" width="6" style="3" customWidth="1"/>
    <col min="11508" max="11508" width="6.53125" style="3" customWidth="1"/>
    <col min="11509" max="11509" width="5" style="3" customWidth="1"/>
    <col min="11510" max="11510" width="6.796875" style="3" customWidth="1"/>
    <col min="11511" max="11751" width="9.19921875" style="3"/>
    <col min="11752" max="11752" width="3.19921875" style="3" customWidth="1"/>
    <col min="11753" max="11753" width="36" style="3" customWidth="1"/>
    <col min="11754" max="11754" width="8.19921875" style="3" customWidth="1"/>
    <col min="11755" max="11755" width="12.796875" style="3" customWidth="1"/>
    <col min="11756" max="11756" width="5.796875" style="3" customWidth="1"/>
    <col min="11757" max="11757" width="7.46484375" style="3" customWidth="1"/>
    <col min="11758" max="11758" width="7.19921875" style="3" customWidth="1"/>
    <col min="11759" max="11759" width="6.796875" style="3" customWidth="1"/>
    <col min="11760" max="11760" width="6" style="3" customWidth="1"/>
    <col min="11761" max="11761" width="6.53125" style="3" customWidth="1"/>
    <col min="11762" max="11762" width="5" style="3" customWidth="1"/>
    <col min="11763" max="11763" width="6" style="3" customWidth="1"/>
    <col min="11764" max="11764" width="6.53125" style="3" customWidth="1"/>
    <col min="11765" max="11765" width="5" style="3" customWidth="1"/>
    <col min="11766" max="11766" width="6.796875" style="3" customWidth="1"/>
    <col min="11767" max="12007" width="9.19921875" style="3"/>
    <col min="12008" max="12008" width="3.19921875" style="3" customWidth="1"/>
    <col min="12009" max="12009" width="36" style="3" customWidth="1"/>
    <col min="12010" max="12010" width="8.19921875" style="3" customWidth="1"/>
    <col min="12011" max="12011" width="12.796875" style="3" customWidth="1"/>
    <col min="12012" max="12012" width="5.796875" style="3" customWidth="1"/>
    <col min="12013" max="12013" width="7.46484375" style="3" customWidth="1"/>
    <col min="12014" max="12014" width="7.19921875" style="3" customWidth="1"/>
    <col min="12015" max="12015" width="6.796875" style="3" customWidth="1"/>
    <col min="12016" max="12016" width="6" style="3" customWidth="1"/>
    <col min="12017" max="12017" width="6.53125" style="3" customWidth="1"/>
    <col min="12018" max="12018" width="5" style="3" customWidth="1"/>
    <col min="12019" max="12019" width="6" style="3" customWidth="1"/>
    <col min="12020" max="12020" width="6.53125" style="3" customWidth="1"/>
    <col min="12021" max="12021" width="5" style="3" customWidth="1"/>
    <col min="12022" max="12022" width="6.796875" style="3" customWidth="1"/>
    <col min="12023" max="12263" width="9.19921875" style="3"/>
    <col min="12264" max="12264" width="3.19921875" style="3" customWidth="1"/>
    <col min="12265" max="12265" width="36" style="3" customWidth="1"/>
    <col min="12266" max="12266" width="8.19921875" style="3" customWidth="1"/>
    <col min="12267" max="12267" width="12.796875" style="3" customWidth="1"/>
    <col min="12268" max="12268" width="5.796875" style="3" customWidth="1"/>
    <col min="12269" max="12269" width="7.46484375" style="3" customWidth="1"/>
    <col min="12270" max="12270" width="7.19921875" style="3" customWidth="1"/>
    <col min="12271" max="12271" width="6.796875" style="3" customWidth="1"/>
    <col min="12272" max="12272" width="6" style="3" customWidth="1"/>
    <col min="12273" max="12273" width="6.53125" style="3" customWidth="1"/>
    <col min="12274" max="12274" width="5" style="3" customWidth="1"/>
    <col min="12275" max="12275" width="6" style="3" customWidth="1"/>
    <col min="12276" max="12276" width="6.53125" style="3" customWidth="1"/>
    <col min="12277" max="12277" width="5" style="3" customWidth="1"/>
    <col min="12278" max="12278" width="6.796875" style="3" customWidth="1"/>
    <col min="12279" max="12519" width="9.19921875" style="3"/>
    <col min="12520" max="12520" width="3.19921875" style="3" customWidth="1"/>
    <col min="12521" max="12521" width="36" style="3" customWidth="1"/>
    <col min="12522" max="12522" width="8.19921875" style="3" customWidth="1"/>
    <col min="12523" max="12523" width="12.796875" style="3" customWidth="1"/>
    <col min="12524" max="12524" width="5.796875" style="3" customWidth="1"/>
    <col min="12525" max="12525" width="7.46484375" style="3" customWidth="1"/>
    <col min="12526" max="12526" width="7.19921875" style="3" customWidth="1"/>
    <col min="12527" max="12527" width="6.796875" style="3" customWidth="1"/>
    <col min="12528" max="12528" width="6" style="3" customWidth="1"/>
    <col min="12529" max="12529" width="6.53125" style="3" customWidth="1"/>
    <col min="12530" max="12530" width="5" style="3" customWidth="1"/>
    <col min="12531" max="12531" width="6" style="3" customWidth="1"/>
    <col min="12532" max="12532" width="6.53125" style="3" customWidth="1"/>
    <col min="12533" max="12533" width="5" style="3" customWidth="1"/>
    <col min="12534" max="12534" width="6.796875" style="3" customWidth="1"/>
    <col min="12535" max="12775" width="9.19921875" style="3"/>
    <col min="12776" max="12776" width="3.19921875" style="3" customWidth="1"/>
    <col min="12777" max="12777" width="36" style="3" customWidth="1"/>
    <col min="12778" max="12778" width="8.19921875" style="3" customWidth="1"/>
    <col min="12779" max="12779" width="12.796875" style="3" customWidth="1"/>
    <col min="12780" max="12780" width="5.796875" style="3" customWidth="1"/>
    <col min="12781" max="12781" width="7.46484375" style="3" customWidth="1"/>
    <col min="12782" max="12782" width="7.19921875" style="3" customWidth="1"/>
    <col min="12783" max="12783" width="6.796875" style="3" customWidth="1"/>
    <col min="12784" max="12784" width="6" style="3" customWidth="1"/>
    <col min="12785" max="12785" width="6.53125" style="3" customWidth="1"/>
    <col min="12786" max="12786" width="5" style="3" customWidth="1"/>
    <col min="12787" max="12787" width="6" style="3" customWidth="1"/>
    <col min="12788" max="12788" width="6.53125" style="3" customWidth="1"/>
    <col min="12789" max="12789" width="5" style="3" customWidth="1"/>
    <col min="12790" max="12790" width="6.796875" style="3" customWidth="1"/>
    <col min="12791" max="13031" width="9.19921875" style="3"/>
    <col min="13032" max="13032" width="3.19921875" style="3" customWidth="1"/>
    <col min="13033" max="13033" width="36" style="3" customWidth="1"/>
    <col min="13034" max="13034" width="8.19921875" style="3" customWidth="1"/>
    <col min="13035" max="13035" width="12.796875" style="3" customWidth="1"/>
    <col min="13036" max="13036" width="5.796875" style="3" customWidth="1"/>
    <col min="13037" max="13037" width="7.46484375" style="3" customWidth="1"/>
    <col min="13038" max="13038" width="7.19921875" style="3" customWidth="1"/>
    <col min="13039" max="13039" width="6.796875" style="3" customWidth="1"/>
    <col min="13040" max="13040" width="6" style="3" customWidth="1"/>
    <col min="13041" max="13041" width="6.53125" style="3" customWidth="1"/>
    <col min="13042" max="13042" width="5" style="3" customWidth="1"/>
    <col min="13043" max="13043" width="6" style="3" customWidth="1"/>
    <col min="13044" max="13044" width="6.53125" style="3" customWidth="1"/>
    <col min="13045" max="13045" width="5" style="3" customWidth="1"/>
    <col min="13046" max="13046" width="6.796875" style="3" customWidth="1"/>
    <col min="13047" max="13287" width="9.19921875" style="3"/>
    <col min="13288" max="13288" width="3.19921875" style="3" customWidth="1"/>
    <col min="13289" max="13289" width="36" style="3" customWidth="1"/>
    <col min="13290" max="13290" width="8.19921875" style="3" customWidth="1"/>
    <col min="13291" max="13291" width="12.796875" style="3" customWidth="1"/>
    <col min="13292" max="13292" width="5.796875" style="3" customWidth="1"/>
    <col min="13293" max="13293" width="7.46484375" style="3" customWidth="1"/>
    <col min="13294" max="13294" width="7.19921875" style="3" customWidth="1"/>
    <col min="13295" max="13295" width="6.796875" style="3" customWidth="1"/>
    <col min="13296" max="13296" width="6" style="3" customWidth="1"/>
    <col min="13297" max="13297" width="6.53125" style="3" customWidth="1"/>
    <col min="13298" max="13298" width="5" style="3" customWidth="1"/>
    <col min="13299" max="13299" width="6" style="3" customWidth="1"/>
    <col min="13300" max="13300" width="6.53125" style="3" customWidth="1"/>
    <col min="13301" max="13301" width="5" style="3" customWidth="1"/>
    <col min="13302" max="13302" width="6.796875" style="3" customWidth="1"/>
    <col min="13303" max="13543" width="9.19921875" style="3"/>
    <col min="13544" max="13544" width="3.19921875" style="3" customWidth="1"/>
    <col min="13545" max="13545" width="36" style="3" customWidth="1"/>
    <col min="13546" max="13546" width="8.19921875" style="3" customWidth="1"/>
    <col min="13547" max="13547" width="12.796875" style="3" customWidth="1"/>
    <col min="13548" max="13548" width="5.796875" style="3" customWidth="1"/>
    <col min="13549" max="13549" width="7.46484375" style="3" customWidth="1"/>
    <col min="13550" max="13550" width="7.19921875" style="3" customWidth="1"/>
    <col min="13551" max="13551" width="6.796875" style="3" customWidth="1"/>
    <col min="13552" max="13552" width="6" style="3" customWidth="1"/>
    <col min="13553" max="13553" width="6.53125" style="3" customWidth="1"/>
    <col min="13554" max="13554" width="5" style="3" customWidth="1"/>
    <col min="13555" max="13555" width="6" style="3" customWidth="1"/>
    <col min="13556" max="13556" width="6.53125" style="3" customWidth="1"/>
    <col min="13557" max="13557" width="5" style="3" customWidth="1"/>
    <col min="13558" max="13558" width="6.796875" style="3" customWidth="1"/>
    <col min="13559" max="13799" width="9.19921875" style="3"/>
    <col min="13800" max="13800" width="3.19921875" style="3" customWidth="1"/>
    <col min="13801" max="13801" width="36" style="3" customWidth="1"/>
    <col min="13802" max="13802" width="8.19921875" style="3" customWidth="1"/>
    <col min="13803" max="13803" width="12.796875" style="3" customWidth="1"/>
    <col min="13804" max="13804" width="5.796875" style="3" customWidth="1"/>
    <col min="13805" max="13805" width="7.46484375" style="3" customWidth="1"/>
    <col min="13806" max="13806" width="7.19921875" style="3" customWidth="1"/>
    <col min="13807" max="13807" width="6.796875" style="3" customWidth="1"/>
    <col min="13808" max="13808" width="6" style="3" customWidth="1"/>
    <col min="13809" max="13809" width="6.53125" style="3" customWidth="1"/>
    <col min="13810" max="13810" width="5" style="3" customWidth="1"/>
    <col min="13811" max="13811" width="6" style="3" customWidth="1"/>
    <col min="13812" max="13812" width="6.53125" style="3" customWidth="1"/>
    <col min="13813" max="13813" width="5" style="3" customWidth="1"/>
    <col min="13814" max="13814" width="6.796875" style="3" customWidth="1"/>
    <col min="13815" max="14055" width="9.19921875" style="3"/>
    <col min="14056" max="14056" width="3.19921875" style="3" customWidth="1"/>
    <col min="14057" max="14057" width="36" style="3" customWidth="1"/>
    <col min="14058" max="14058" width="8.19921875" style="3" customWidth="1"/>
    <col min="14059" max="14059" width="12.796875" style="3" customWidth="1"/>
    <col min="14060" max="14060" width="5.796875" style="3" customWidth="1"/>
    <col min="14061" max="14061" width="7.46484375" style="3" customWidth="1"/>
    <col min="14062" max="14062" width="7.19921875" style="3" customWidth="1"/>
    <col min="14063" max="14063" width="6.796875" style="3" customWidth="1"/>
    <col min="14064" max="14064" width="6" style="3" customWidth="1"/>
    <col min="14065" max="14065" width="6.53125" style="3" customWidth="1"/>
    <col min="14066" max="14066" width="5" style="3" customWidth="1"/>
    <col min="14067" max="14067" width="6" style="3" customWidth="1"/>
    <col min="14068" max="14068" width="6.53125" style="3" customWidth="1"/>
    <col min="14069" max="14069" width="5" style="3" customWidth="1"/>
    <col min="14070" max="14070" width="6.796875" style="3" customWidth="1"/>
    <col min="14071" max="14311" width="9.19921875" style="3"/>
    <col min="14312" max="14312" width="3.19921875" style="3" customWidth="1"/>
    <col min="14313" max="14313" width="36" style="3" customWidth="1"/>
    <col min="14314" max="14314" width="8.19921875" style="3" customWidth="1"/>
    <col min="14315" max="14315" width="12.796875" style="3" customWidth="1"/>
    <col min="14316" max="14316" width="5.796875" style="3" customWidth="1"/>
    <col min="14317" max="14317" width="7.46484375" style="3" customWidth="1"/>
    <col min="14318" max="14318" width="7.19921875" style="3" customWidth="1"/>
    <col min="14319" max="14319" width="6.796875" style="3" customWidth="1"/>
    <col min="14320" max="14320" width="6" style="3" customWidth="1"/>
    <col min="14321" max="14321" width="6.53125" style="3" customWidth="1"/>
    <col min="14322" max="14322" width="5" style="3" customWidth="1"/>
    <col min="14323" max="14323" width="6" style="3" customWidth="1"/>
    <col min="14324" max="14324" width="6.53125" style="3" customWidth="1"/>
    <col min="14325" max="14325" width="5" style="3" customWidth="1"/>
    <col min="14326" max="14326" width="6.796875" style="3" customWidth="1"/>
    <col min="14327" max="14567" width="9.19921875" style="3"/>
    <col min="14568" max="14568" width="3.19921875" style="3" customWidth="1"/>
    <col min="14569" max="14569" width="36" style="3" customWidth="1"/>
    <col min="14570" max="14570" width="8.19921875" style="3" customWidth="1"/>
    <col min="14571" max="14571" width="12.796875" style="3" customWidth="1"/>
    <col min="14572" max="14572" width="5.796875" style="3" customWidth="1"/>
    <col min="14573" max="14573" width="7.46484375" style="3" customWidth="1"/>
    <col min="14574" max="14574" width="7.19921875" style="3" customWidth="1"/>
    <col min="14575" max="14575" width="6.796875" style="3" customWidth="1"/>
    <col min="14576" max="14576" width="6" style="3" customWidth="1"/>
    <col min="14577" max="14577" width="6.53125" style="3" customWidth="1"/>
    <col min="14578" max="14578" width="5" style="3" customWidth="1"/>
    <col min="14579" max="14579" width="6" style="3" customWidth="1"/>
    <col min="14580" max="14580" width="6.53125" style="3" customWidth="1"/>
    <col min="14581" max="14581" width="5" style="3" customWidth="1"/>
    <col min="14582" max="14582" width="6.796875" style="3" customWidth="1"/>
    <col min="14583" max="14823" width="9.19921875" style="3"/>
    <col min="14824" max="14824" width="3.19921875" style="3" customWidth="1"/>
    <col min="14825" max="14825" width="36" style="3" customWidth="1"/>
    <col min="14826" max="14826" width="8.19921875" style="3" customWidth="1"/>
    <col min="14827" max="14827" width="12.796875" style="3" customWidth="1"/>
    <col min="14828" max="14828" width="5.796875" style="3" customWidth="1"/>
    <col min="14829" max="14829" width="7.46484375" style="3" customWidth="1"/>
    <col min="14830" max="14830" width="7.19921875" style="3" customWidth="1"/>
    <col min="14831" max="14831" width="6.796875" style="3" customWidth="1"/>
    <col min="14832" max="14832" width="6" style="3" customWidth="1"/>
    <col min="14833" max="14833" width="6.53125" style="3" customWidth="1"/>
    <col min="14834" max="14834" width="5" style="3" customWidth="1"/>
    <col min="14835" max="14835" width="6" style="3" customWidth="1"/>
    <col min="14836" max="14836" width="6.53125" style="3" customWidth="1"/>
    <col min="14837" max="14837" width="5" style="3" customWidth="1"/>
    <col min="14838" max="14838" width="6.796875" style="3" customWidth="1"/>
    <col min="14839" max="15079" width="9.19921875" style="3"/>
    <col min="15080" max="15080" width="3.19921875" style="3" customWidth="1"/>
    <col min="15081" max="15081" width="36" style="3" customWidth="1"/>
    <col min="15082" max="15082" width="8.19921875" style="3" customWidth="1"/>
    <col min="15083" max="15083" width="12.796875" style="3" customWidth="1"/>
    <col min="15084" max="15084" width="5.796875" style="3" customWidth="1"/>
    <col min="15085" max="15085" width="7.46484375" style="3" customWidth="1"/>
    <col min="15086" max="15086" width="7.19921875" style="3" customWidth="1"/>
    <col min="15087" max="15087" width="6.796875" style="3" customWidth="1"/>
    <col min="15088" max="15088" width="6" style="3" customWidth="1"/>
    <col min="15089" max="15089" width="6.53125" style="3" customWidth="1"/>
    <col min="15090" max="15090" width="5" style="3" customWidth="1"/>
    <col min="15091" max="15091" width="6" style="3" customWidth="1"/>
    <col min="15092" max="15092" width="6.53125" style="3" customWidth="1"/>
    <col min="15093" max="15093" width="5" style="3" customWidth="1"/>
    <col min="15094" max="15094" width="6.796875" style="3" customWidth="1"/>
    <col min="15095" max="15335" width="9.19921875" style="3"/>
    <col min="15336" max="15336" width="3.19921875" style="3" customWidth="1"/>
    <col min="15337" max="15337" width="36" style="3" customWidth="1"/>
    <col min="15338" max="15338" width="8.19921875" style="3" customWidth="1"/>
    <col min="15339" max="15339" width="12.796875" style="3" customWidth="1"/>
    <col min="15340" max="15340" width="5.796875" style="3" customWidth="1"/>
    <col min="15341" max="15341" width="7.46484375" style="3" customWidth="1"/>
    <col min="15342" max="15342" width="7.19921875" style="3" customWidth="1"/>
    <col min="15343" max="15343" width="6.796875" style="3" customWidth="1"/>
    <col min="15344" max="15344" width="6" style="3" customWidth="1"/>
    <col min="15345" max="15345" width="6.53125" style="3" customWidth="1"/>
    <col min="15346" max="15346" width="5" style="3" customWidth="1"/>
    <col min="15347" max="15347" width="6" style="3" customWidth="1"/>
    <col min="15348" max="15348" width="6.53125" style="3" customWidth="1"/>
    <col min="15349" max="15349" width="5" style="3" customWidth="1"/>
    <col min="15350" max="15350" width="6.796875" style="3" customWidth="1"/>
    <col min="15351" max="15591" width="9.19921875" style="3"/>
    <col min="15592" max="15592" width="3.19921875" style="3" customWidth="1"/>
    <col min="15593" max="15593" width="36" style="3" customWidth="1"/>
    <col min="15594" max="15594" width="8.19921875" style="3" customWidth="1"/>
    <col min="15595" max="15595" width="12.796875" style="3" customWidth="1"/>
    <col min="15596" max="15596" width="5.796875" style="3" customWidth="1"/>
    <col min="15597" max="15597" width="7.46484375" style="3" customWidth="1"/>
    <col min="15598" max="15598" width="7.19921875" style="3" customWidth="1"/>
    <col min="15599" max="15599" width="6.796875" style="3" customWidth="1"/>
    <col min="15600" max="15600" width="6" style="3" customWidth="1"/>
    <col min="15601" max="15601" width="6.53125" style="3" customWidth="1"/>
    <col min="15602" max="15602" width="5" style="3" customWidth="1"/>
    <col min="15603" max="15603" width="6" style="3" customWidth="1"/>
    <col min="15604" max="15604" width="6.53125" style="3" customWidth="1"/>
    <col min="15605" max="15605" width="5" style="3" customWidth="1"/>
    <col min="15606" max="15606" width="6.796875" style="3" customWidth="1"/>
    <col min="15607" max="15847" width="9.19921875" style="3"/>
    <col min="15848" max="15848" width="3.19921875" style="3" customWidth="1"/>
    <col min="15849" max="15849" width="36" style="3" customWidth="1"/>
    <col min="15850" max="15850" width="8.19921875" style="3" customWidth="1"/>
    <col min="15851" max="15851" width="12.796875" style="3" customWidth="1"/>
    <col min="15852" max="15852" width="5.796875" style="3" customWidth="1"/>
    <col min="15853" max="15853" width="7.46484375" style="3" customWidth="1"/>
    <col min="15854" max="15854" width="7.19921875" style="3" customWidth="1"/>
    <col min="15855" max="15855" width="6.796875" style="3" customWidth="1"/>
    <col min="15856" max="15856" width="6" style="3" customWidth="1"/>
    <col min="15857" max="15857" width="6.53125" style="3" customWidth="1"/>
    <col min="15858" max="15858" width="5" style="3" customWidth="1"/>
    <col min="15859" max="15859" width="6" style="3" customWidth="1"/>
    <col min="15860" max="15860" width="6.53125" style="3" customWidth="1"/>
    <col min="15861" max="15861" width="5" style="3" customWidth="1"/>
    <col min="15862" max="15862" width="6.796875" style="3" customWidth="1"/>
    <col min="15863" max="16103" width="9.19921875" style="3"/>
    <col min="16104" max="16104" width="3.19921875" style="3" customWidth="1"/>
    <col min="16105" max="16105" width="36" style="3" customWidth="1"/>
    <col min="16106" max="16106" width="8.19921875" style="3" customWidth="1"/>
    <col min="16107" max="16107" width="12.796875" style="3" customWidth="1"/>
    <col min="16108" max="16108" width="5.796875" style="3" customWidth="1"/>
    <col min="16109" max="16109" width="7.46484375" style="3" customWidth="1"/>
    <col min="16110" max="16110" width="7.19921875" style="3" customWidth="1"/>
    <col min="16111" max="16111" width="6.796875" style="3" customWidth="1"/>
    <col min="16112" max="16112" width="6" style="3" customWidth="1"/>
    <col min="16113" max="16113" width="6.53125" style="3" customWidth="1"/>
    <col min="16114" max="16114" width="5" style="3" customWidth="1"/>
    <col min="16115" max="16115" width="6" style="3" customWidth="1"/>
    <col min="16116" max="16116" width="6.53125" style="3" customWidth="1"/>
    <col min="16117" max="16117" width="5" style="3" customWidth="1"/>
    <col min="16118" max="16118" width="6.796875" style="3" customWidth="1"/>
    <col min="16119" max="16384" width="9.19921875" style="3"/>
  </cols>
  <sheetData>
    <row r="1" spans="1:14">
      <c r="A1" s="1507" t="s">
        <v>1800</v>
      </c>
      <c r="B1" s="1507"/>
    </row>
    <row r="2" spans="1:14">
      <c r="A2" s="241" t="str">
        <f>+'BS1'!A2</f>
        <v>NIDP DEVELOPERS PRIVATE LIMITED</v>
      </c>
      <c r="B2" s="39"/>
      <c r="C2" s="39"/>
      <c r="D2" s="39"/>
      <c r="E2" s="39"/>
      <c r="F2" s="39"/>
      <c r="G2" s="39"/>
      <c r="H2" s="39"/>
      <c r="I2" s="39"/>
      <c r="J2" s="39"/>
      <c r="K2" s="39"/>
      <c r="L2" s="39"/>
      <c r="M2" s="39"/>
      <c r="N2" s="39"/>
    </row>
    <row r="3" spans="1:14">
      <c r="A3" s="173" t="s">
        <v>1286</v>
      </c>
      <c r="B3" s="173"/>
      <c r="C3" s="173"/>
      <c r="D3" s="173"/>
      <c r="E3" s="173"/>
      <c r="F3" s="173"/>
      <c r="G3" s="173"/>
      <c r="H3" s="173"/>
      <c r="I3" s="173"/>
      <c r="J3" s="173"/>
      <c r="K3" s="173"/>
      <c r="L3" s="173"/>
      <c r="M3" s="173"/>
      <c r="N3" s="173"/>
    </row>
    <row r="4" spans="1:14">
      <c r="A4" s="39"/>
      <c r="B4" s="39"/>
      <c r="C4" s="39"/>
      <c r="D4" s="39"/>
      <c r="E4" s="39"/>
      <c r="F4" s="39"/>
      <c r="G4" s="39"/>
      <c r="H4" s="39"/>
      <c r="I4" s="39"/>
      <c r="J4" s="39"/>
      <c r="K4" s="39"/>
      <c r="L4" s="39"/>
      <c r="M4" s="39"/>
      <c r="N4" s="39"/>
    </row>
    <row r="5" spans="1:14">
      <c r="A5" s="178">
        <v>1</v>
      </c>
      <c r="B5" s="467" t="s">
        <v>1281</v>
      </c>
      <c r="C5" s="467"/>
      <c r="D5" s="39"/>
      <c r="E5" s="39"/>
      <c r="F5" s="39"/>
      <c r="G5" s="39"/>
      <c r="H5" s="39"/>
      <c r="I5" s="39"/>
      <c r="J5" s="39"/>
      <c r="K5" s="39"/>
      <c r="L5" s="39"/>
      <c r="M5" s="39"/>
      <c r="N5" s="39"/>
    </row>
    <row r="6" spans="1:14">
      <c r="A6" s="178" t="s">
        <v>1285</v>
      </c>
      <c r="B6" s="458" t="s">
        <v>10</v>
      </c>
      <c r="C6" s="458" t="s">
        <v>1277</v>
      </c>
      <c r="D6" s="39"/>
      <c r="E6" s="39"/>
      <c r="F6" s="39"/>
      <c r="G6" s="39"/>
      <c r="H6" s="39"/>
      <c r="I6" s="39"/>
      <c r="J6" s="39"/>
      <c r="K6" s="39"/>
      <c r="L6" s="39"/>
      <c r="M6" s="39"/>
      <c r="N6" s="39"/>
    </row>
    <row r="7" spans="1:14" ht="28.5">
      <c r="A7" s="4" t="s">
        <v>82</v>
      </c>
      <c r="B7" s="68" t="s">
        <v>1278</v>
      </c>
      <c r="C7" s="1763" t="s">
        <v>2062</v>
      </c>
      <c r="D7" s="39"/>
      <c r="E7" s="39"/>
      <c r="F7" s="39"/>
      <c r="G7" s="39"/>
      <c r="H7" s="39"/>
      <c r="I7" s="39"/>
      <c r="J7" s="39"/>
      <c r="K7" s="39"/>
      <c r="L7" s="39"/>
      <c r="M7" s="39"/>
      <c r="N7" s="39"/>
    </row>
    <row r="8" spans="1:14" ht="28.5">
      <c r="A8" s="4" t="s">
        <v>83</v>
      </c>
      <c r="B8" s="68" t="s">
        <v>1280</v>
      </c>
      <c r="C8" s="1763"/>
      <c r="D8" s="39"/>
      <c r="E8" s="39"/>
      <c r="F8" s="39"/>
      <c r="G8" s="39"/>
      <c r="H8" s="39"/>
      <c r="I8" s="39"/>
      <c r="J8" s="39"/>
      <c r="K8" s="39"/>
      <c r="L8" s="39"/>
      <c r="M8" s="39"/>
      <c r="N8" s="39"/>
    </row>
    <row r="9" spans="1:14">
      <c r="A9" s="39"/>
      <c r="B9" s="39"/>
      <c r="C9" s="39"/>
      <c r="D9" s="39"/>
      <c r="E9" s="39"/>
      <c r="F9" s="39"/>
      <c r="G9" s="39"/>
      <c r="H9" s="39"/>
      <c r="I9" s="39"/>
      <c r="J9" s="39"/>
      <c r="K9" s="39"/>
      <c r="L9" s="39"/>
      <c r="M9" s="39"/>
      <c r="N9" s="39"/>
    </row>
    <row r="10" spans="1:14">
      <c r="A10" s="178">
        <v>2</v>
      </c>
      <c r="B10" s="467" t="s">
        <v>1282</v>
      </c>
      <c r="C10" s="467"/>
      <c r="D10" s="39"/>
      <c r="E10" s="39"/>
      <c r="F10" s="39"/>
      <c r="G10" s="39"/>
      <c r="H10" s="39"/>
      <c r="I10" s="39"/>
      <c r="J10" s="39"/>
      <c r="K10" s="39"/>
      <c r="L10" s="39"/>
      <c r="M10" s="39"/>
      <c r="N10" s="39"/>
    </row>
    <row r="11" spans="1:14">
      <c r="A11" s="178" t="s">
        <v>1279</v>
      </c>
      <c r="B11" s="458" t="s">
        <v>10</v>
      </c>
      <c r="C11" s="458" t="s">
        <v>1277</v>
      </c>
      <c r="D11" s="39"/>
      <c r="E11" s="39"/>
      <c r="F11" s="39"/>
      <c r="G11" s="39"/>
      <c r="H11" s="39"/>
      <c r="I11" s="39"/>
      <c r="J11" s="39"/>
      <c r="K11" s="39"/>
      <c r="L11" s="39"/>
      <c r="M11" s="39"/>
      <c r="N11" s="39"/>
    </row>
    <row r="12" spans="1:14" ht="28.5">
      <c r="A12" s="4" t="s">
        <v>82</v>
      </c>
      <c r="B12" s="68" t="s">
        <v>1278</v>
      </c>
      <c r="C12" s="1763" t="s">
        <v>2062</v>
      </c>
      <c r="D12" s="39"/>
      <c r="E12" s="39"/>
      <c r="F12" s="39"/>
      <c r="G12" s="39"/>
      <c r="H12" s="39"/>
      <c r="I12" s="39"/>
      <c r="J12" s="39"/>
      <c r="K12" s="39"/>
      <c r="L12" s="39"/>
      <c r="M12" s="39"/>
      <c r="N12" s="39"/>
    </row>
    <row r="13" spans="1:14" ht="28.5">
      <c r="A13" s="4" t="s">
        <v>83</v>
      </c>
      <c r="B13" s="68" t="s">
        <v>1280</v>
      </c>
      <c r="C13" s="1763"/>
      <c r="D13" s="39"/>
      <c r="E13" s="39"/>
      <c r="F13" s="39"/>
      <c r="G13" s="39"/>
      <c r="H13" s="39"/>
      <c r="I13" s="39"/>
      <c r="J13" s="39"/>
      <c r="K13" s="39"/>
      <c r="L13" s="39"/>
      <c r="M13" s="39"/>
      <c r="N13" s="39"/>
    </row>
    <row r="14" spans="1:14">
      <c r="A14" s="39"/>
      <c r="B14" s="39"/>
      <c r="C14" s="39"/>
      <c r="D14" s="39"/>
      <c r="E14" s="39"/>
      <c r="F14" s="39"/>
      <c r="G14" s="39"/>
      <c r="H14" s="39"/>
      <c r="I14" s="39"/>
      <c r="J14" s="39"/>
      <c r="K14" s="39"/>
      <c r="L14" s="39"/>
      <c r="M14" s="39"/>
      <c r="N14" s="39"/>
    </row>
    <row r="15" spans="1:14">
      <c r="A15" s="178" t="s">
        <v>1360</v>
      </c>
      <c r="B15" s="467" t="s">
        <v>1357</v>
      </c>
      <c r="C15" s="467"/>
      <c r="D15" s="39"/>
      <c r="E15" s="39"/>
      <c r="F15" s="39"/>
      <c r="G15" s="39"/>
      <c r="H15" s="39"/>
      <c r="I15" s="39"/>
      <c r="J15" s="39"/>
      <c r="K15" s="39"/>
      <c r="L15" s="39"/>
      <c r="M15" s="39"/>
      <c r="N15" s="39"/>
    </row>
    <row r="16" spans="1:14">
      <c r="A16" s="178" t="s">
        <v>1279</v>
      </c>
      <c r="B16" s="458" t="s">
        <v>10</v>
      </c>
      <c r="C16" s="458" t="s">
        <v>1277</v>
      </c>
      <c r="D16" s="39"/>
      <c r="E16" s="39"/>
      <c r="F16" s="39"/>
      <c r="G16" s="39"/>
      <c r="H16" s="39"/>
      <c r="I16" s="39"/>
      <c r="J16" s="39"/>
      <c r="K16" s="39"/>
      <c r="L16" s="39"/>
      <c r="M16" s="39"/>
      <c r="N16" s="39"/>
    </row>
    <row r="17" spans="1:14" ht="28.5">
      <c r="A17" s="4" t="s">
        <v>82</v>
      </c>
      <c r="B17" s="68" t="s">
        <v>1278</v>
      </c>
      <c r="C17" s="1763" t="s">
        <v>2062</v>
      </c>
      <c r="D17" s="39"/>
      <c r="E17" s="39"/>
      <c r="F17" s="39"/>
      <c r="G17" s="39"/>
      <c r="H17" s="39"/>
      <c r="I17" s="39"/>
      <c r="J17" s="39"/>
      <c r="K17" s="39"/>
      <c r="L17" s="39"/>
      <c r="M17" s="39"/>
      <c r="N17" s="39"/>
    </row>
    <row r="18" spans="1:14" ht="28.5">
      <c r="A18" s="4" t="s">
        <v>83</v>
      </c>
      <c r="B18" s="68" t="s">
        <v>1280</v>
      </c>
      <c r="C18" s="1763"/>
      <c r="D18" s="39"/>
      <c r="E18" s="39"/>
      <c r="F18" s="39"/>
      <c r="G18" s="39"/>
      <c r="H18" s="39"/>
      <c r="I18" s="39"/>
      <c r="J18" s="39"/>
      <c r="K18" s="39"/>
      <c r="L18" s="39"/>
      <c r="M18" s="39"/>
      <c r="N18" s="39"/>
    </row>
    <row r="19" spans="1:14">
      <c r="A19" s="457"/>
      <c r="B19" s="165"/>
      <c r="C19" s="241"/>
      <c r="D19" s="39"/>
      <c r="E19" s="39"/>
      <c r="F19" s="39"/>
      <c r="G19" s="39"/>
      <c r="H19" s="39"/>
      <c r="I19" s="39"/>
      <c r="J19" s="39"/>
      <c r="K19" s="39"/>
      <c r="L19" s="39"/>
      <c r="M19" s="39"/>
      <c r="N19" s="39"/>
    </row>
    <row r="20" spans="1:14">
      <c r="A20" s="178" t="s">
        <v>1361</v>
      </c>
      <c r="B20" s="467" t="s">
        <v>1358</v>
      </c>
      <c r="C20" s="467"/>
      <c r="D20" s="39"/>
      <c r="E20" s="39"/>
      <c r="F20" s="39"/>
      <c r="G20" s="39"/>
      <c r="H20" s="39"/>
      <c r="I20" s="39"/>
      <c r="J20" s="39"/>
      <c r="K20" s="39"/>
      <c r="L20" s="39"/>
      <c r="M20" s="39"/>
      <c r="N20" s="39"/>
    </row>
    <row r="21" spans="1:14">
      <c r="A21" s="178" t="s">
        <v>1279</v>
      </c>
      <c r="B21" s="458" t="s">
        <v>10</v>
      </c>
      <c r="C21" s="458" t="s">
        <v>1277</v>
      </c>
      <c r="D21" s="39"/>
      <c r="E21" s="39"/>
      <c r="F21" s="39"/>
      <c r="G21" s="39"/>
      <c r="H21" s="39"/>
      <c r="I21" s="39"/>
      <c r="J21" s="39"/>
      <c r="K21" s="39"/>
      <c r="L21" s="39"/>
      <c r="M21" s="39"/>
      <c r="N21" s="39"/>
    </row>
    <row r="22" spans="1:14" ht="28.5">
      <c r="A22" s="4" t="s">
        <v>82</v>
      </c>
      <c r="B22" s="68" t="s">
        <v>1278</v>
      </c>
      <c r="C22" s="1763" t="s">
        <v>2062</v>
      </c>
      <c r="D22" s="39"/>
      <c r="E22" s="39"/>
      <c r="F22" s="39"/>
      <c r="G22" s="39"/>
      <c r="H22" s="39"/>
      <c r="I22" s="39"/>
      <c r="J22" s="39"/>
      <c r="K22" s="39"/>
      <c r="L22" s="39"/>
      <c r="M22" s="39"/>
      <c r="N22" s="39"/>
    </row>
    <row r="23" spans="1:14" ht="28.5">
      <c r="A23" s="4" t="s">
        <v>83</v>
      </c>
      <c r="B23" s="68" t="s">
        <v>1280</v>
      </c>
      <c r="C23" s="1763"/>
      <c r="D23" s="39"/>
      <c r="E23" s="39"/>
      <c r="F23" s="39"/>
      <c r="G23" s="39"/>
      <c r="H23" s="39"/>
      <c r="I23" s="39"/>
      <c r="J23" s="39"/>
      <c r="K23" s="39"/>
      <c r="L23" s="39"/>
      <c r="M23" s="39"/>
      <c r="N23" s="39"/>
    </row>
    <row r="24" spans="1:14">
      <c r="A24" s="457"/>
      <c r="B24" s="165"/>
      <c r="C24" s="241"/>
      <c r="D24" s="39"/>
      <c r="E24" s="39"/>
      <c r="F24" s="39"/>
      <c r="G24" s="39"/>
      <c r="H24" s="39"/>
      <c r="I24" s="39"/>
      <c r="J24" s="39"/>
      <c r="K24" s="39"/>
      <c r="L24" s="39"/>
      <c r="M24" s="39"/>
      <c r="N24" s="39"/>
    </row>
    <row r="25" spans="1:14">
      <c r="A25" s="178" t="s">
        <v>1362</v>
      </c>
      <c r="B25" s="467" t="s">
        <v>1359</v>
      </c>
      <c r="C25" s="467"/>
      <c r="D25" s="39"/>
      <c r="E25" s="39"/>
      <c r="F25" s="39"/>
      <c r="G25" s="39"/>
      <c r="H25" s="39"/>
      <c r="I25" s="39"/>
      <c r="J25" s="39"/>
      <c r="K25" s="39"/>
      <c r="L25" s="39"/>
      <c r="M25" s="39"/>
      <c r="N25" s="39"/>
    </row>
    <row r="26" spans="1:14">
      <c r="A26" s="178" t="s">
        <v>1279</v>
      </c>
      <c r="B26" s="458" t="s">
        <v>10</v>
      </c>
      <c r="C26" s="458" t="s">
        <v>1277</v>
      </c>
      <c r="D26" s="39"/>
      <c r="E26" s="39"/>
      <c r="F26" s="39"/>
      <c r="G26" s="39"/>
      <c r="H26" s="39"/>
      <c r="I26" s="39"/>
      <c r="J26" s="39"/>
      <c r="K26" s="39"/>
      <c r="L26" s="39"/>
      <c r="M26" s="39"/>
      <c r="N26" s="39"/>
    </row>
    <row r="27" spans="1:14" ht="28.5">
      <c r="A27" s="4" t="s">
        <v>82</v>
      </c>
      <c r="B27" s="68" t="s">
        <v>1278</v>
      </c>
      <c r="C27" s="1763" t="s">
        <v>2062</v>
      </c>
      <c r="D27" s="39"/>
      <c r="E27" s="39"/>
      <c r="F27" s="39"/>
      <c r="G27" s="39"/>
      <c r="H27" s="39"/>
      <c r="I27" s="39"/>
      <c r="J27" s="39"/>
      <c r="K27" s="39"/>
      <c r="L27" s="39"/>
      <c r="M27" s="39"/>
      <c r="N27" s="39"/>
    </row>
    <row r="28" spans="1:14" ht="28.5">
      <c r="A28" s="4" t="s">
        <v>83</v>
      </c>
      <c r="B28" s="68" t="s">
        <v>1280</v>
      </c>
      <c r="C28" s="1763"/>
      <c r="D28" s="39"/>
      <c r="E28" s="39"/>
      <c r="F28" s="39"/>
      <c r="G28" s="39"/>
      <c r="H28" s="39"/>
      <c r="I28" s="39"/>
      <c r="J28" s="39"/>
      <c r="K28" s="39"/>
      <c r="L28" s="39"/>
      <c r="M28" s="39"/>
      <c r="N28" s="39"/>
    </row>
    <row r="29" spans="1:14">
      <c r="A29" s="457"/>
      <c r="B29" s="165"/>
      <c r="C29" s="241"/>
      <c r="D29" s="39"/>
      <c r="E29" s="39"/>
      <c r="F29" s="39"/>
      <c r="G29" s="39"/>
      <c r="H29" s="39"/>
      <c r="I29" s="39"/>
      <c r="J29" s="39"/>
      <c r="K29" s="39"/>
      <c r="L29" s="39"/>
      <c r="M29" s="39"/>
      <c r="N29" s="39"/>
    </row>
    <row r="30" spans="1:14">
      <c r="A30" s="178">
        <v>4</v>
      </c>
      <c r="B30" s="467" t="s">
        <v>1283</v>
      </c>
      <c r="C30" s="467"/>
      <c r="D30" s="39"/>
      <c r="E30" s="39"/>
      <c r="F30" s="39"/>
      <c r="G30" s="39"/>
      <c r="H30" s="39"/>
      <c r="I30" s="39"/>
      <c r="J30" s="39"/>
      <c r="K30" s="39"/>
      <c r="L30" s="39"/>
      <c r="M30" s="39"/>
      <c r="N30" s="39"/>
    </row>
    <row r="31" spans="1:14">
      <c r="A31" s="178" t="s">
        <v>1279</v>
      </c>
      <c r="B31" s="458" t="s">
        <v>10</v>
      </c>
      <c r="C31" s="458" t="s">
        <v>1277</v>
      </c>
      <c r="D31" s="39"/>
      <c r="E31" s="39"/>
      <c r="F31" s="39"/>
      <c r="G31" s="39"/>
      <c r="H31" s="39"/>
      <c r="I31" s="39"/>
      <c r="J31" s="39"/>
      <c r="K31" s="39"/>
      <c r="L31" s="39"/>
      <c r="M31" s="39"/>
      <c r="N31" s="39"/>
    </row>
    <row r="32" spans="1:14" ht="28.5">
      <c r="A32" s="4" t="s">
        <v>82</v>
      </c>
      <c r="B32" s="68" t="s">
        <v>1278</v>
      </c>
      <c r="C32" s="1763" t="s">
        <v>2062</v>
      </c>
      <c r="D32" s="39"/>
      <c r="E32" s="39"/>
      <c r="F32" s="39"/>
      <c r="G32" s="39"/>
      <c r="H32" s="39"/>
      <c r="I32" s="39"/>
      <c r="J32" s="39"/>
      <c r="K32" s="39"/>
      <c r="L32" s="39"/>
      <c r="M32" s="39"/>
      <c r="N32" s="39"/>
    </row>
    <row r="33" spans="1:145" ht="28.5">
      <c r="A33" s="4" t="s">
        <v>83</v>
      </c>
      <c r="B33" s="68" t="s">
        <v>1280</v>
      </c>
      <c r="C33" s="1763"/>
      <c r="D33" s="39"/>
      <c r="E33" s="39"/>
      <c r="F33" s="39"/>
      <c r="G33" s="39"/>
      <c r="H33" s="39"/>
      <c r="I33" s="39"/>
      <c r="J33" s="39"/>
      <c r="K33" s="39"/>
      <c r="L33" s="39"/>
      <c r="M33" s="39"/>
      <c r="N33" s="39"/>
    </row>
    <row r="34" spans="1:145">
      <c r="A34" s="39"/>
      <c r="B34" s="39"/>
      <c r="C34" s="39"/>
      <c r="D34" s="39"/>
      <c r="E34" s="39"/>
      <c r="F34" s="39"/>
      <c r="G34" s="39"/>
      <c r="H34" s="39"/>
      <c r="I34" s="39"/>
      <c r="J34" s="39"/>
      <c r="K34" s="39"/>
      <c r="L34" s="39"/>
      <c r="M34" s="39"/>
      <c r="N34" s="39"/>
    </row>
    <row r="35" spans="1:145">
      <c r="A35" s="1761" t="s">
        <v>2121</v>
      </c>
      <c r="B35" s="1761"/>
      <c r="C35" s="1761"/>
      <c r="D35" s="39"/>
      <c r="E35" s="39"/>
      <c r="F35" s="39"/>
      <c r="G35" s="39"/>
      <c r="H35" s="39"/>
      <c r="I35" s="39"/>
      <c r="J35" s="39"/>
      <c r="K35" s="39"/>
      <c r="L35" s="39"/>
      <c r="M35" s="39"/>
      <c r="N35" s="39"/>
    </row>
    <row r="36" spans="1:145">
      <c r="A36" s="178" t="s">
        <v>1279</v>
      </c>
      <c r="B36" s="458" t="s">
        <v>10</v>
      </c>
      <c r="C36" s="458" t="s">
        <v>1277</v>
      </c>
      <c r="D36" s="39"/>
      <c r="E36" s="39"/>
      <c r="F36" s="39"/>
      <c r="G36" s="39"/>
      <c r="H36" s="39"/>
      <c r="I36" s="39"/>
      <c r="J36" s="39"/>
      <c r="K36" s="39"/>
      <c r="L36" s="39"/>
      <c r="M36" s="39"/>
      <c r="N36" s="39"/>
    </row>
    <row r="37" spans="1:145" ht="42.75">
      <c r="A37" s="4" t="s">
        <v>82</v>
      </c>
      <c r="B37" s="68" t="s">
        <v>1278</v>
      </c>
      <c r="C37" s="934" t="s">
        <v>2122</v>
      </c>
      <c r="D37" s="39"/>
      <c r="E37" s="39"/>
      <c r="F37" s="39"/>
      <c r="G37" s="39"/>
      <c r="H37" s="39"/>
      <c r="I37" s="39"/>
      <c r="J37" s="39"/>
      <c r="K37" s="39"/>
      <c r="L37" s="39"/>
      <c r="M37" s="39"/>
      <c r="N37" s="39"/>
    </row>
    <row r="38" spans="1:145" ht="71.25">
      <c r="A38" s="4" t="s">
        <v>83</v>
      </c>
      <c r="B38" s="68" t="s">
        <v>1280</v>
      </c>
      <c r="C38" s="934" t="s">
        <v>2123</v>
      </c>
      <c r="D38" s="39"/>
      <c r="E38" s="39"/>
      <c r="F38" s="39"/>
      <c r="G38" s="39"/>
      <c r="H38" s="39"/>
      <c r="I38" s="39"/>
      <c r="J38" s="39"/>
      <c r="K38" s="39"/>
      <c r="L38" s="39"/>
      <c r="M38" s="39"/>
      <c r="N38" s="39"/>
    </row>
    <row r="39" spans="1:145">
      <c r="A39" s="39"/>
      <c r="B39" s="39"/>
      <c r="C39" s="39"/>
      <c r="D39" s="39"/>
      <c r="E39" s="39"/>
      <c r="F39" s="39"/>
      <c r="G39" s="39"/>
      <c r="H39" s="39"/>
      <c r="I39" s="39"/>
      <c r="J39" s="39"/>
      <c r="K39" s="39"/>
      <c r="L39" s="39"/>
      <c r="M39" s="39"/>
      <c r="N39" s="39"/>
    </row>
    <row r="40" spans="1:145">
      <c r="A40" s="1762" t="s">
        <v>1504</v>
      </c>
      <c r="B40" s="1762"/>
      <c r="C40" s="1762"/>
      <c r="D40" s="398"/>
      <c r="E40" s="398"/>
      <c r="F40" s="398"/>
      <c r="G40" s="398"/>
      <c r="H40" s="398"/>
      <c r="I40" s="398"/>
      <c r="J40" s="398"/>
      <c r="K40" s="398"/>
      <c r="L40" s="398"/>
      <c r="M40" s="398"/>
      <c r="N40" s="398"/>
      <c r="O40" s="398"/>
      <c r="P40" s="398"/>
      <c r="Q40" s="398"/>
      <c r="R40" s="398"/>
      <c r="S40" s="398"/>
      <c r="T40" s="398"/>
      <c r="U40" s="398"/>
      <c r="V40" s="398"/>
      <c r="W40" s="398"/>
      <c r="X40" s="398"/>
      <c r="Y40" s="398"/>
      <c r="Z40" s="398"/>
      <c r="AA40" s="398"/>
      <c r="AB40" s="398"/>
      <c r="AC40" s="398"/>
      <c r="AD40" s="398"/>
      <c r="AE40" s="398"/>
      <c r="AF40" s="398"/>
      <c r="AG40" s="398"/>
      <c r="AH40" s="398"/>
      <c r="AI40" s="398"/>
      <c r="AJ40" s="398"/>
      <c r="AK40" s="398"/>
      <c r="AL40" s="398"/>
      <c r="AM40" s="398"/>
      <c r="AN40" s="398"/>
      <c r="AO40" s="398"/>
      <c r="AP40" s="398"/>
      <c r="AQ40" s="398"/>
      <c r="AR40" s="398"/>
      <c r="AS40" s="398"/>
      <c r="AT40" s="398"/>
      <c r="AU40" s="398"/>
      <c r="AV40" s="398"/>
      <c r="AW40" s="398"/>
      <c r="AX40" s="398"/>
      <c r="AY40" s="398"/>
      <c r="AZ40" s="398"/>
      <c r="BA40" s="398"/>
      <c r="BB40" s="398"/>
      <c r="BC40" s="398"/>
      <c r="BD40" s="398"/>
      <c r="BE40" s="398"/>
      <c r="BF40" s="398"/>
      <c r="BG40" s="398"/>
      <c r="BH40" s="398"/>
      <c r="BI40" s="456"/>
      <c r="BJ40" s="456"/>
      <c r="BK40" s="456"/>
      <c r="BL40" s="456"/>
      <c r="BM40" s="456"/>
      <c r="BN40" s="456"/>
      <c r="BO40" s="456"/>
      <c r="BP40" s="456"/>
      <c r="BQ40" s="456"/>
      <c r="BR40" s="456"/>
      <c r="BS40" s="456"/>
      <c r="BT40" s="456"/>
      <c r="BU40" s="456"/>
      <c r="BV40" s="456"/>
      <c r="BW40" s="456"/>
      <c r="BX40" s="456"/>
      <c r="BY40" s="456"/>
      <c r="BZ40" s="456"/>
      <c r="CA40" s="456"/>
      <c r="CB40" s="456"/>
      <c r="CC40" s="456"/>
      <c r="CD40" s="456"/>
      <c r="CE40" s="456"/>
      <c r="CF40" s="456"/>
      <c r="CG40" s="456"/>
      <c r="CH40" s="456"/>
      <c r="CI40" s="456"/>
      <c r="CJ40" s="456"/>
      <c r="CK40" s="456"/>
      <c r="CL40" s="456"/>
      <c r="CM40" s="456"/>
      <c r="CN40" s="456"/>
      <c r="CO40" s="456"/>
      <c r="CP40" s="456"/>
      <c r="CQ40" s="456"/>
      <c r="CR40" s="456"/>
      <c r="CS40" s="456"/>
      <c r="CT40" s="456"/>
      <c r="CU40" s="456"/>
      <c r="CV40" s="456"/>
      <c r="CW40" s="456"/>
      <c r="CX40" s="456"/>
      <c r="CY40" s="456"/>
      <c r="CZ40" s="456"/>
      <c r="DA40" s="456"/>
      <c r="DB40" s="456"/>
      <c r="DC40" s="456"/>
      <c r="DD40" s="456"/>
      <c r="DE40" s="456"/>
      <c r="DF40" s="456"/>
      <c r="DG40" s="456"/>
      <c r="DH40" s="456"/>
      <c r="DI40" s="456"/>
      <c r="DJ40" s="456"/>
      <c r="DK40" s="456"/>
      <c r="DL40" s="456"/>
      <c r="DM40" s="456"/>
      <c r="DN40" s="456"/>
      <c r="DO40" s="456"/>
      <c r="DP40" s="456"/>
      <c r="DQ40" s="456"/>
      <c r="DR40" s="456"/>
      <c r="DS40" s="456"/>
      <c r="DT40" s="456"/>
      <c r="DU40" s="456"/>
      <c r="DV40" s="456"/>
      <c r="DW40" s="456"/>
      <c r="DX40" s="456"/>
      <c r="DY40" s="456"/>
      <c r="DZ40" s="456"/>
      <c r="EA40" s="456"/>
      <c r="EB40" s="456"/>
      <c r="EC40" s="456"/>
      <c r="ED40" s="456"/>
      <c r="EE40" s="456"/>
      <c r="EF40" s="456"/>
      <c r="EG40" s="456"/>
      <c r="EH40" s="456"/>
      <c r="EI40" s="456"/>
      <c r="EJ40" s="456"/>
      <c r="EK40" s="456"/>
      <c r="EL40" s="456"/>
      <c r="EM40" s="408"/>
      <c r="EN40" s="408"/>
      <c r="EO40" s="408"/>
    </row>
  </sheetData>
  <mergeCells count="9">
    <mergeCell ref="A35:C35"/>
    <mergeCell ref="A40:C40"/>
    <mergeCell ref="A1:B1"/>
    <mergeCell ref="C7:C8"/>
    <mergeCell ref="C12:C13"/>
    <mergeCell ref="C17:C18"/>
    <mergeCell ref="C22:C23"/>
    <mergeCell ref="C27:C28"/>
    <mergeCell ref="C32:C33"/>
  </mergeCells>
  <printOptions horizontalCentered="1"/>
  <pageMargins left="0.70866141732283472" right="0.70866141732283472" top="0.74803149606299213" bottom="0.74803149606299213" header="0.31496062992125984" footer="0.31496062992125984"/>
  <pageSetup paperSize="5" fitToWidth="2" fitToHeight="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FFFF"/>
    <pageSetUpPr fitToPage="1"/>
  </sheetPr>
  <dimension ref="A1:FN138"/>
  <sheetViews>
    <sheetView showGridLines="0" view="pageBreakPreview" zoomScale="80" zoomScaleNormal="100" zoomScaleSheetLayoutView="80" workbookViewId="0">
      <pane xSplit="2" ySplit="7" topLeftCell="C129" activePane="bottomRight" state="frozen"/>
      <selection pane="topRight" activeCell="C1" sqref="C1"/>
      <selection pane="bottomLeft" activeCell="A8" sqref="A8"/>
      <selection pane="bottomRight" activeCell="H132" sqref="H132"/>
    </sheetView>
  </sheetViews>
  <sheetFormatPr defaultColWidth="9.19921875" defaultRowHeight="14.25"/>
  <cols>
    <col min="1" max="1" width="4.53125" style="425" customWidth="1"/>
    <col min="2" max="2" width="31.53125" style="398" customWidth="1"/>
    <col min="3" max="3" width="16.19921875" style="398" customWidth="1"/>
    <col min="4" max="6" width="14.19921875" style="398" customWidth="1"/>
    <col min="7" max="7" width="12.19921875" style="398" bestFit="1" customWidth="1"/>
    <col min="8" max="8" width="12.19921875" style="398" customWidth="1"/>
    <col min="9" max="9" width="13.46484375" style="398" customWidth="1"/>
    <col min="10" max="10" width="22.19921875" style="398" customWidth="1"/>
    <col min="11" max="11" width="17.796875" style="398" customWidth="1"/>
    <col min="12" max="12" width="15.796875" style="398" customWidth="1"/>
    <col min="13" max="13" width="17" style="398" customWidth="1"/>
    <col min="14" max="14" width="10.53125" style="398" customWidth="1"/>
    <col min="15" max="15" width="9.19921875" style="398" customWidth="1"/>
    <col min="16" max="16" width="9.796875" style="398" customWidth="1"/>
    <col min="17" max="18" width="9.19921875" style="398" customWidth="1"/>
    <col min="19" max="19" width="7.19921875" style="398" bestFit="1" customWidth="1"/>
    <col min="20" max="20" width="11.46484375" style="398" customWidth="1"/>
    <col min="21" max="21" width="10" style="398" bestFit="1" customWidth="1"/>
    <col min="22" max="22" width="7.19921875" style="398" bestFit="1" customWidth="1"/>
    <col min="23" max="23" width="9.19921875" style="398" customWidth="1"/>
    <col min="24" max="24" width="10" style="398" bestFit="1" customWidth="1"/>
    <col min="25" max="25" width="7.19921875" style="398" bestFit="1" customWidth="1"/>
    <col min="26" max="26" width="10" style="398" bestFit="1" customWidth="1"/>
    <col min="27" max="27" width="7.19921875" style="398" bestFit="1" customWidth="1"/>
    <col min="28" max="28" width="10" style="398" bestFit="1" customWidth="1"/>
    <col min="29" max="29" width="9.19921875" style="398" customWidth="1"/>
    <col min="30" max="30" width="10.53125" style="398" customWidth="1"/>
    <col min="31" max="31" width="9.19921875" style="398" customWidth="1"/>
    <col min="32" max="32" width="7.19921875" style="398" bestFit="1" customWidth="1"/>
    <col min="33" max="33" width="9.19921875" style="398" customWidth="1"/>
    <col min="34" max="34" width="10" style="398" bestFit="1" customWidth="1"/>
    <col min="35" max="35" width="7.19921875" style="398" bestFit="1" customWidth="1"/>
    <col min="36" max="36" width="10" style="398" bestFit="1" customWidth="1"/>
    <col min="37" max="37" width="7.19921875" style="398" bestFit="1" customWidth="1"/>
    <col min="38" max="38" width="10" style="398" bestFit="1" customWidth="1"/>
    <col min="39" max="39" width="7.19921875" style="398" bestFit="1" customWidth="1"/>
    <col min="40" max="40" width="9.19921875" style="398" customWidth="1"/>
    <col min="41" max="41" width="10" style="400" bestFit="1" customWidth="1"/>
    <col min="42" max="43" width="9.19921875" style="398" customWidth="1"/>
    <col min="44" max="44" width="10" style="398" bestFit="1" customWidth="1"/>
    <col min="45" max="45" width="9.19921875" style="398" customWidth="1"/>
    <col min="46" max="46" width="10" style="398" bestFit="1" customWidth="1"/>
    <col min="47" max="47" width="9.19921875" style="398" customWidth="1"/>
    <col min="48" max="48" width="11.46484375" style="398" customWidth="1"/>
    <col min="49" max="50" width="9.19921875" style="398" customWidth="1"/>
    <col min="51" max="51" width="10" style="400" bestFit="1" customWidth="1"/>
    <col min="52" max="53" width="9.19921875" style="398" customWidth="1"/>
    <col min="54" max="54" width="10" style="398" bestFit="1" customWidth="1"/>
    <col min="55" max="55" width="9.19921875" style="398" customWidth="1"/>
    <col min="56" max="56" width="10" style="398" bestFit="1" customWidth="1"/>
    <col min="57" max="57" width="9.19921875" style="398" customWidth="1"/>
    <col min="58" max="58" width="10" style="398" bestFit="1" customWidth="1"/>
    <col min="59" max="60" width="9.19921875" style="398" customWidth="1"/>
    <col min="61" max="61" width="12" style="400" customWidth="1"/>
    <col min="62" max="63" width="9.19921875" style="398" customWidth="1"/>
    <col min="64" max="64" width="10" style="398" bestFit="1" customWidth="1"/>
    <col min="65" max="67" width="9.19921875" style="398" customWidth="1"/>
    <col min="68" max="68" width="10" style="398" bestFit="1" customWidth="1"/>
    <col min="69" max="69" width="7.19921875" style="398" bestFit="1" customWidth="1"/>
    <col min="70" max="70" width="9.46484375" style="398" bestFit="1" customWidth="1"/>
    <col min="71" max="71" width="10" style="398" bestFit="1" customWidth="1"/>
    <col min="72" max="72" width="7.19921875" style="398" bestFit="1" customWidth="1"/>
    <col min="73" max="73" width="9.19921875" style="398" customWidth="1"/>
    <col min="74" max="74" width="10" style="398" bestFit="1" customWidth="1"/>
    <col min="75" max="75" width="7.19921875" style="398" bestFit="1" customWidth="1"/>
    <col min="76" max="76" width="10" style="398" bestFit="1" customWidth="1"/>
    <col min="77" max="77" width="7.19921875" style="398" bestFit="1" customWidth="1"/>
    <col min="78" max="78" width="10" style="398" bestFit="1" customWidth="1"/>
    <col min="79" max="80" width="9.19921875" style="398" customWidth="1"/>
    <col min="81" max="81" width="10" style="398" bestFit="1" customWidth="1"/>
    <col min="82" max="82" width="7.19921875" style="398" bestFit="1" customWidth="1"/>
    <col min="83" max="83" width="9.19921875" style="398" customWidth="1"/>
    <col min="84" max="84" width="10" style="398" bestFit="1" customWidth="1"/>
    <col min="85" max="85" width="9" style="398" customWidth="1"/>
    <col min="86" max="86" width="10" style="398" bestFit="1" customWidth="1"/>
    <col min="87" max="87" width="9.19921875" style="398" customWidth="1"/>
    <col min="88" max="88" width="10" style="398" bestFit="1" customWidth="1"/>
    <col min="89" max="90" width="9.19921875" style="398" customWidth="1"/>
    <col min="91" max="91" width="10" style="400" bestFit="1" customWidth="1"/>
    <col min="92" max="92" width="9.19921875" style="398" customWidth="1"/>
    <col min="93" max="93" width="10.19921875" style="398" customWidth="1"/>
    <col min="94" max="94" width="10" style="398" bestFit="1" customWidth="1"/>
    <col min="95" max="95" width="9.19921875" style="398" customWidth="1"/>
    <col min="96" max="96" width="10" style="398" bestFit="1" customWidth="1"/>
    <col min="97" max="97" width="9.19921875" style="398" customWidth="1"/>
    <col min="98" max="98" width="10" style="398" bestFit="1" customWidth="1"/>
    <col min="99" max="100" width="9.19921875" style="398" customWidth="1"/>
    <col min="101" max="101" width="10" style="400" bestFit="1" customWidth="1"/>
    <col min="102" max="102" width="9.19921875" style="398" customWidth="1"/>
    <col min="103" max="103" width="11.19921875" style="398" customWidth="1"/>
    <col min="104" max="104" width="10" style="398" bestFit="1" customWidth="1"/>
    <col min="105" max="105" width="9.19921875" style="398" customWidth="1"/>
    <col min="106" max="106" width="10" style="398" bestFit="1" customWidth="1"/>
    <col min="107" max="107" width="9.796875" style="398" customWidth="1"/>
    <col min="108" max="108" width="10" style="398" bestFit="1" customWidth="1"/>
    <col min="109" max="110" width="9.19921875" style="398" customWidth="1"/>
    <col min="111" max="111" width="10" style="400" bestFit="1" customWidth="1"/>
    <col min="112" max="112" width="9.19921875" style="398" customWidth="1"/>
    <col min="113" max="114" width="10" style="398" bestFit="1" customWidth="1"/>
    <col min="115" max="115" width="7.19921875" style="398" bestFit="1" customWidth="1"/>
    <col min="116" max="116" width="10" style="398" bestFit="1" customWidth="1"/>
    <col min="117" max="117" width="7.19921875" style="398" bestFit="1" customWidth="1"/>
    <col min="118" max="118" width="10" style="398" bestFit="1" customWidth="1"/>
    <col min="119" max="120" width="9.19921875" style="398" customWidth="1"/>
    <col min="121" max="121" width="10" style="400" bestFit="1" customWidth="1"/>
    <col min="122" max="122" width="9.19921875" style="398" customWidth="1"/>
    <col min="123" max="124" width="11.53125" style="398" customWidth="1"/>
    <col min="125" max="129" width="9.19921875" style="398" customWidth="1"/>
    <col min="130" max="130" width="10.19921875" style="398" customWidth="1"/>
    <col min="131" max="132" width="9.19921875" style="398" customWidth="1"/>
    <col min="133" max="133" width="15.46484375" style="398" customWidth="1"/>
    <col min="134" max="134" width="13.19921875" style="398" customWidth="1"/>
    <col min="135" max="135" width="10" style="398" bestFit="1" customWidth="1"/>
    <col min="136" max="136" width="7.19921875" style="398" bestFit="1" customWidth="1"/>
    <col min="137" max="137" width="10" style="398" bestFit="1" customWidth="1"/>
    <col min="138" max="138" width="7.19921875" style="398" bestFit="1" customWidth="1"/>
    <col min="139" max="139" width="10" style="398" bestFit="1" customWidth="1"/>
    <col min="140" max="140" width="7.19921875" style="398" bestFit="1" customWidth="1"/>
    <col min="141" max="142" width="10" style="398" bestFit="1" customWidth="1"/>
    <col min="143" max="143" width="11.19921875" style="398" bestFit="1" customWidth="1"/>
    <col min="144" max="144" width="9.19921875" style="398" customWidth="1"/>
    <col min="145" max="145" width="16" style="398" customWidth="1"/>
    <col min="146" max="146" width="12.796875" style="398" customWidth="1"/>
    <col min="147" max="161" width="9.19921875" style="398" customWidth="1"/>
    <col min="162" max="162" width="17.19921875" style="398" customWidth="1"/>
    <col min="163" max="163" width="13.796875" style="399" customWidth="1"/>
    <col min="164" max="164" width="9.19921875" style="398" customWidth="1"/>
    <col min="165" max="165" width="13.796875" style="398" customWidth="1"/>
    <col min="166" max="167" width="9.19921875" style="398" customWidth="1"/>
    <col min="168" max="16384" width="9.19921875" style="398"/>
  </cols>
  <sheetData>
    <row r="1" spans="1:170">
      <c r="A1" s="397" t="s">
        <v>1801</v>
      </c>
      <c r="B1" s="397"/>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397"/>
      <c r="DK1" s="397"/>
      <c r="DL1" s="397"/>
      <c r="DM1" s="397"/>
      <c r="DN1" s="397"/>
      <c r="DO1" s="397"/>
      <c r="DP1" s="397"/>
      <c r="DQ1" s="397"/>
      <c r="DR1" s="397"/>
      <c r="DS1" s="397"/>
      <c r="DT1" s="397"/>
      <c r="DU1" s="397"/>
      <c r="DV1" s="397"/>
      <c r="DW1" s="397"/>
      <c r="DX1" s="397"/>
      <c r="DY1" s="397"/>
      <c r="DZ1" s="397"/>
      <c r="EA1" s="397"/>
      <c r="EB1" s="397"/>
      <c r="EC1" s="397"/>
      <c r="ED1" s="397"/>
      <c r="EE1" s="397"/>
      <c r="EF1" s="397"/>
      <c r="EG1" s="397"/>
      <c r="EH1" s="397"/>
      <c r="EI1" s="397"/>
      <c r="EJ1" s="397"/>
      <c r="EK1" s="397"/>
      <c r="EL1" s="397"/>
      <c r="EM1" s="397"/>
    </row>
    <row r="2" spans="1:170">
      <c r="A2" s="241" t="str">
        <f>+'BS1'!A2</f>
        <v>NIDP DEVELOPERS PRIVATE LIMITED</v>
      </c>
      <c r="B2" s="813"/>
      <c r="C2" s="813"/>
      <c r="D2" s="813"/>
      <c r="E2" s="813"/>
      <c r="F2" s="813"/>
      <c r="G2" s="813"/>
      <c r="H2" s="813"/>
      <c r="I2" s="813"/>
      <c r="J2" s="813"/>
      <c r="K2" s="813"/>
      <c r="L2" s="813"/>
      <c r="M2" s="813"/>
      <c r="N2" s="813"/>
      <c r="O2" s="813"/>
      <c r="P2" s="813"/>
      <c r="Q2" s="813"/>
      <c r="R2" s="813"/>
      <c r="S2" s="813"/>
      <c r="T2" s="813"/>
      <c r="U2" s="813"/>
      <c r="V2" s="813"/>
      <c r="W2" s="813"/>
      <c r="X2" s="813"/>
    </row>
    <row r="3" spans="1:170">
      <c r="A3" s="397" t="s">
        <v>1364</v>
      </c>
      <c r="B3" s="397"/>
      <c r="C3" s="470"/>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row>
    <row r="4" spans="1:170">
      <c r="A4" s="1784"/>
      <c r="B4" s="1784"/>
      <c r="C4" s="1784"/>
      <c r="D4" s="1784"/>
      <c r="E4" s="1784"/>
      <c r="F4" s="1784"/>
      <c r="G4" s="1784"/>
      <c r="H4" s="1784"/>
      <c r="I4" s="1784"/>
      <c r="J4" s="1784"/>
      <c r="K4" s="1784"/>
      <c r="L4" s="1784"/>
      <c r="M4" s="1784"/>
      <c r="N4" s="1784"/>
      <c r="O4" s="1784"/>
      <c r="P4" s="1784"/>
      <c r="Q4" s="1784"/>
      <c r="R4" s="1784"/>
      <c r="S4" s="1785"/>
      <c r="T4" s="1785"/>
      <c r="AO4" s="398"/>
      <c r="AY4" s="398"/>
      <c r="BI4" s="398"/>
      <c r="CM4" s="398"/>
      <c r="CW4" s="398"/>
      <c r="DG4" s="398"/>
      <c r="DQ4" s="398"/>
      <c r="FG4" s="398"/>
    </row>
    <row r="5" spans="1:170" s="403" customFormat="1" ht="12.75" customHeight="1">
      <c r="A5" s="1786" t="s">
        <v>8</v>
      </c>
      <c r="B5" s="1786" t="s">
        <v>1187</v>
      </c>
      <c r="C5" s="1769" t="s">
        <v>1188</v>
      </c>
      <c r="D5" s="1769" t="s">
        <v>1189</v>
      </c>
      <c r="E5" s="1769" t="s">
        <v>1272</v>
      </c>
      <c r="F5" s="1769" t="s">
        <v>1227</v>
      </c>
      <c r="G5" s="1769" t="s">
        <v>1190</v>
      </c>
      <c r="H5" s="1769" t="s">
        <v>1239</v>
      </c>
      <c r="I5" s="1769" t="s">
        <v>1235</v>
      </c>
      <c r="J5" s="1766" t="s">
        <v>1268</v>
      </c>
      <c r="K5" s="1766" t="s">
        <v>1269</v>
      </c>
      <c r="L5" s="1766" t="s">
        <v>1270</v>
      </c>
      <c r="M5" s="1766" t="s">
        <v>1271</v>
      </c>
      <c r="N5" s="1772" t="s">
        <v>166</v>
      </c>
      <c r="O5" s="1779"/>
      <c r="P5" s="1779"/>
      <c r="Q5" s="1779"/>
      <c r="R5" s="1779"/>
      <c r="S5" s="1779"/>
      <c r="T5" s="1779"/>
      <c r="U5" s="1779"/>
      <c r="V5" s="1779"/>
      <c r="W5" s="1779"/>
      <c r="X5" s="1772" t="s">
        <v>167</v>
      </c>
      <c r="Y5" s="1772"/>
      <c r="Z5" s="1779"/>
      <c r="AA5" s="1779"/>
      <c r="AB5" s="1779"/>
      <c r="AC5" s="1779"/>
      <c r="AD5" s="1779"/>
      <c r="AE5" s="1779"/>
      <c r="AF5" s="1779"/>
      <c r="AG5" s="1779"/>
      <c r="AH5" s="1772" t="s">
        <v>168</v>
      </c>
      <c r="AI5" s="1779"/>
      <c r="AJ5" s="1779"/>
      <c r="AK5" s="1779"/>
      <c r="AL5" s="1779"/>
      <c r="AM5" s="1779"/>
      <c r="AN5" s="1779"/>
      <c r="AO5" s="1779"/>
      <c r="AP5" s="1779"/>
      <c r="AQ5" s="1779"/>
      <c r="AR5" s="1777" t="s">
        <v>169</v>
      </c>
      <c r="AS5" s="1778"/>
      <c r="AT5" s="1778"/>
      <c r="AU5" s="1778"/>
      <c r="AV5" s="1778"/>
      <c r="AW5" s="1778"/>
      <c r="AX5" s="1778"/>
      <c r="AY5" s="1778"/>
      <c r="AZ5" s="1778"/>
      <c r="BA5" s="1778"/>
      <c r="BB5" s="1777" t="s">
        <v>170</v>
      </c>
      <c r="BC5" s="1778"/>
      <c r="BD5" s="1778"/>
      <c r="BE5" s="1778"/>
      <c r="BF5" s="1778"/>
      <c r="BG5" s="1778"/>
      <c r="BH5" s="1778"/>
      <c r="BI5" s="1778"/>
      <c r="BJ5" s="1778"/>
      <c r="BK5" s="1778"/>
      <c r="BL5" s="1777" t="s">
        <v>171</v>
      </c>
      <c r="BM5" s="1778"/>
      <c r="BN5" s="1778"/>
      <c r="BO5" s="1778"/>
      <c r="BP5" s="1778"/>
      <c r="BQ5" s="1778"/>
      <c r="BR5" s="1778"/>
      <c r="BS5" s="1778"/>
      <c r="BT5" s="1778"/>
      <c r="BU5" s="1778"/>
      <c r="BV5" s="1777" t="s">
        <v>176</v>
      </c>
      <c r="BW5" s="1778"/>
      <c r="BX5" s="1778"/>
      <c r="BY5" s="1778"/>
      <c r="BZ5" s="1778"/>
      <c r="CA5" s="1778"/>
      <c r="CB5" s="1778"/>
      <c r="CC5" s="1778"/>
      <c r="CD5" s="1778"/>
      <c r="CE5" s="1778"/>
      <c r="CF5" s="1777" t="s">
        <v>172</v>
      </c>
      <c r="CG5" s="1778"/>
      <c r="CH5" s="1778"/>
      <c r="CI5" s="1778"/>
      <c r="CJ5" s="1778"/>
      <c r="CK5" s="1778"/>
      <c r="CL5" s="1778"/>
      <c r="CM5" s="1778"/>
      <c r="CN5" s="1778"/>
      <c r="CO5" s="1778"/>
      <c r="CP5" s="1777" t="s">
        <v>173</v>
      </c>
      <c r="CQ5" s="1778"/>
      <c r="CR5" s="1778"/>
      <c r="CS5" s="1778"/>
      <c r="CT5" s="1778"/>
      <c r="CU5" s="1778"/>
      <c r="CV5" s="1778"/>
      <c r="CW5" s="1778"/>
      <c r="CX5" s="1778"/>
      <c r="CY5" s="1778"/>
      <c r="CZ5" s="1777" t="s">
        <v>175</v>
      </c>
      <c r="DA5" s="1778"/>
      <c r="DB5" s="1778"/>
      <c r="DC5" s="1778"/>
      <c r="DD5" s="1778"/>
      <c r="DE5" s="1778"/>
      <c r="DF5" s="1778"/>
      <c r="DG5" s="1778"/>
      <c r="DH5" s="1778"/>
      <c r="DI5" s="1778"/>
      <c r="DJ5" s="1777" t="s">
        <v>174</v>
      </c>
      <c r="DK5" s="1778"/>
      <c r="DL5" s="1778"/>
      <c r="DM5" s="1778"/>
      <c r="DN5" s="1778"/>
      <c r="DO5" s="1778"/>
      <c r="DP5" s="1778"/>
      <c r="DQ5" s="1778"/>
      <c r="DR5" s="1778"/>
      <c r="DS5" s="1778"/>
      <c r="DT5" s="1772" t="s">
        <v>177</v>
      </c>
      <c r="DU5" s="1772"/>
      <c r="DV5" s="1779"/>
      <c r="DW5" s="1779"/>
      <c r="DX5" s="1779"/>
      <c r="DY5" s="1779"/>
      <c r="DZ5" s="1779"/>
      <c r="EA5" s="1779"/>
      <c r="EB5" s="1779"/>
      <c r="EC5" s="1779"/>
      <c r="ED5" s="1772" t="s">
        <v>18</v>
      </c>
      <c r="EE5" s="1772"/>
      <c r="EF5" s="1772"/>
      <c r="EG5" s="1772"/>
      <c r="EH5" s="1772"/>
      <c r="EI5" s="1772"/>
      <c r="EJ5" s="1772"/>
      <c r="EK5" s="1772"/>
      <c r="EL5" s="1772"/>
      <c r="EM5" s="1772"/>
      <c r="EN5" s="1772"/>
      <c r="EO5" s="1772"/>
      <c r="EP5" s="1772"/>
      <c r="EQ5" s="401"/>
      <c r="ER5" s="402"/>
      <c r="ES5" s="1792"/>
      <c r="ET5" s="1792"/>
      <c r="EU5" s="1792"/>
      <c r="EV5" s="1792"/>
      <c r="EW5" s="1792"/>
      <c r="EX5" s="1792"/>
      <c r="EY5" s="1792"/>
      <c r="EZ5" s="1792"/>
      <c r="FA5" s="1792"/>
      <c r="FB5" s="1792"/>
      <c r="FC5" s="1792"/>
      <c r="FH5" s="1791"/>
      <c r="FI5" s="1791"/>
      <c r="FJ5" s="1791"/>
      <c r="FK5" s="1791"/>
      <c r="FL5" s="1791"/>
      <c r="FM5" s="1791"/>
      <c r="FN5" s="1791"/>
    </row>
    <row r="6" spans="1:170" s="403" customFormat="1" ht="72" customHeight="1">
      <c r="A6" s="1787"/>
      <c r="B6" s="1787"/>
      <c r="C6" s="1770"/>
      <c r="D6" s="1770"/>
      <c r="E6" s="1770"/>
      <c r="F6" s="1770"/>
      <c r="G6" s="1770"/>
      <c r="H6" s="1770"/>
      <c r="I6" s="1770"/>
      <c r="J6" s="1767"/>
      <c r="K6" s="1767"/>
      <c r="L6" s="1767"/>
      <c r="M6" s="1767"/>
      <c r="N6" s="1780" t="s">
        <v>1184</v>
      </c>
      <c r="O6" s="1779" t="s">
        <v>602</v>
      </c>
      <c r="P6" s="1779"/>
      <c r="Q6" s="1779" t="s">
        <v>1236</v>
      </c>
      <c r="R6" s="1779"/>
      <c r="S6" s="1782" t="s">
        <v>2124</v>
      </c>
      <c r="T6" s="1783"/>
      <c r="U6" s="404" t="s">
        <v>1192</v>
      </c>
      <c r="V6" s="1782" t="s">
        <v>199</v>
      </c>
      <c r="W6" s="1783"/>
      <c r="X6" s="1780" t="s">
        <v>1184</v>
      </c>
      <c r="Y6" s="1789" t="s">
        <v>602</v>
      </c>
      <c r="Z6" s="1790"/>
      <c r="AA6" s="1782" t="s">
        <v>1191</v>
      </c>
      <c r="AB6" s="1783"/>
      <c r="AC6" s="1782" t="s">
        <v>2124</v>
      </c>
      <c r="AD6" s="1783"/>
      <c r="AE6" s="404" t="s">
        <v>1192</v>
      </c>
      <c r="AF6" s="1782" t="s">
        <v>199</v>
      </c>
      <c r="AG6" s="1783"/>
      <c r="AH6" s="1780" t="s">
        <v>1184</v>
      </c>
      <c r="AI6" s="1779" t="s">
        <v>1193</v>
      </c>
      <c r="AJ6" s="1779"/>
      <c r="AK6" s="1779" t="s">
        <v>1236</v>
      </c>
      <c r="AL6" s="1779"/>
      <c r="AM6" s="1782" t="s">
        <v>2124</v>
      </c>
      <c r="AN6" s="1783"/>
      <c r="AO6" s="404" t="s">
        <v>1192</v>
      </c>
      <c r="AP6" s="1779" t="s">
        <v>199</v>
      </c>
      <c r="AQ6" s="1779"/>
      <c r="AR6" s="1780" t="s">
        <v>1184</v>
      </c>
      <c r="AS6" s="1779" t="s">
        <v>1193</v>
      </c>
      <c r="AT6" s="1779"/>
      <c r="AU6" s="1779" t="s">
        <v>1236</v>
      </c>
      <c r="AV6" s="1779"/>
      <c r="AW6" s="1782" t="s">
        <v>2124</v>
      </c>
      <c r="AX6" s="1783"/>
      <c r="AY6" s="404" t="s">
        <v>1192</v>
      </c>
      <c r="AZ6" s="1779" t="s">
        <v>199</v>
      </c>
      <c r="BA6" s="1779"/>
      <c r="BB6" s="1780" t="s">
        <v>1184</v>
      </c>
      <c r="BC6" s="1779" t="s">
        <v>1193</v>
      </c>
      <c r="BD6" s="1779"/>
      <c r="BE6" s="1779" t="s">
        <v>1236</v>
      </c>
      <c r="BF6" s="1779"/>
      <c r="BG6" s="1782" t="s">
        <v>2124</v>
      </c>
      <c r="BH6" s="1783"/>
      <c r="BI6" s="404" t="s">
        <v>1192</v>
      </c>
      <c r="BJ6" s="1779" t="s">
        <v>199</v>
      </c>
      <c r="BK6" s="1779"/>
      <c r="BL6" s="1780" t="s">
        <v>1184</v>
      </c>
      <c r="BM6" s="1779" t="s">
        <v>1193</v>
      </c>
      <c r="BN6" s="1779"/>
      <c r="BO6" s="1779" t="s">
        <v>1236</v>
      </c>
      <c r="BP6" s="1779"/>
      <c r="BQ6" s="1782" t="s">
        <v>2124</v>
      </c>
      <c r="BR6" s="1783"/>
      <c r="BS6" s="404" t="s">
        <v>1192</v>
      </c>
      <c r="BT6" s="1782" t="s">
        <v>1194</v>
      </c>
      <c r="BU6" s="1783"/>
      <c r="BV6" s="1780" t="s">
        <v>1184</v>
      </c>
      <c r="BW6" s="1782" t="s">
        <v>1193</v>
      </c>
      <c r="BX6" s="1783"/>
      <c r="BY6" s="1779" t="s">
        <v>1236</v>
      </c>
      <c r="BZ6" s="1779"/>
      <c r="CA6" s="1782" t="s">
        <v>2124</v>
      </c>
      <c r="CB6" s="1783"/>
      <c r="CC6" s="404" t="s">
        <v>1192</v>
      </c>
      <c r="CD6" s="1782" t="s">
        <v>1194</v>
      </c>
      <c r="CE6" s="1783"/>
      <c r="CF6" s="1780" t="s">
        <v>1184</v>
      </c>
      <c r="CG6" s="1782" t="s">
        <v>1193</v>
      </c>
      <c r="CH6" s="1783"/>
      <c r="CI6" s="1779" t="s">
        <v>1236</v>
      </c>
      <c r="CJ6" s="1779"/>
      <c r="CK6" s="1782" t="s">
        <v>2124</v>
      </c>
      <c r="CL6" s="1783"/>
      <c r="CM6" s="404" t="s">
        <v>1192</v>
      </c>
      <c r="CN6" s="1782" t="s">
        <v>1194</v>
      </c>
      <c r="CO6" s="1783"/>
      <c r="CP6" s="1780" t="s">
        <v>1184</v>
      </c>
      <c r="CQ6" s="1782" t="s">
        <v>1193</v>
      </c>
      <c r="CR6" s="1783"/>
      <c r="CS6" s="1779" t="s">
        <v>1236</v>
      </c>
      <c r="CT6" s="1779"/>
      <c r="CU6" s="1782" t="s">
        <v>2124</v>
      </c>
      <c r="CV6" s="1783"/>
      <c r="CW6" s="404" t="s">
        <v>1192</v>
      </c>
      <c r="CX6" s="1782" t="s">
        <v>1194</v>
      </c>
      <c r="CY6" s="1783"/>
      <c r="CZ6" s="1780" t="s">
        <v>1184</v>
      </c>
      <c r="DA6" s="1779" t="s">
        <v>1193</v>
      </c>
      <c r="DB6" s="1779"/>
      <c r="DC6" s="1779" t="s">
        <v>1236</v>
      </c>
      <c r="DD6" s="1779"/>
      <c r="DE6" s="1782" t="s">
        <v>2124</v>
      </c>
      <c r="DF6" s="1783"/>
      <c r="DG6" s="404" t="s">
        <v>1192</v>
      </c>
      <c r="DH6" s="1782" t="s">
        <v>1194</v>
      </c>
      <c r="DI6" s="1783"/>
      <c r="DJ6" s="1780" t="s">
        <v>1184</v>
      </c>
      <c r="DK6" s="1779" t="s">
        <v>1193</v>
      </c>
      <c r="DL6" s="1779"/>
      <c r="DM6" s="1779" t="s">
        <v>1236</v>
      </c>
      <c r="DN6" s="1779"/>
      <c r="DO6" s="1782" t="s">
        <v>2124</v>
      </c>
      <c r="DP6" s="1783"/>
      <c r="DQ6" s="404" t="s">
        <v>1192</v>
      </c>
      <c r="DR6" s="1782" t="s">
        <v>1194</v>
      </c>
      <c r="DS6" s="1783"/>
      <c r="DT6" s="1780" t="s">
        <v>1184</v>
      </c>
      <c r="DU6" s="1779" t="s">
        <v>1193</v>
      </c>
      <c r="DV6" s="1779"/>
      <c r="DW6" s="1779" t="s">
        <v>1236</v>
      </c>
      <c r="DX6" s="1779"/>
      <c r="DY6" s="1782" t="s">
        <v>2124</v>
      </c>
      <c r="DZ6" s="1783"/>
      <c r="EA6" s="404" t="s">
        <v>1192</v>
      </c>
      <c r="EB6" s="1782" t="s">
        <v>1194</v>
      </c>
      <c r="EC6" s="1783"/>
      <c r="ED6" s="1781" t="s">
        <v>1195</v>
      </c>
      <c r="EE6" s="1781" t="s">
        <v>1184</v>
      </c>
      <c r="EF6" s="1781" t="s">
        <v>1196</v>
      </c>
      <c r="EG6" s="1781"/>
      <c r="EH6" s="1793" t="s">
        <v>1237</v>
      </c>
      <c r="EI6" s="1794"/>
      <c r="EJ6" s="1782" t="s">
        <v>2125</v>
      </c>
      <c r="EK6" s="1783"/>
      <c r="EL6" s="405" t="s">
        <v>1192</v>
      </c>
      <c r="EM6" s="1782" t="s">
        <v>1194</v>
      </c>
      <c r="EN6" s="1783"/>
      <c r="EO6" s="404" t="s">
        <v>1273</v>
      </c>
      <c r="EP6" s="404" t="s">
        <v>1274</v>
      </c>
      <c r="EQ6" s="401"/>
      <c r="ER6" s="401"/>
      <c r="ES6" s="401"/>
      <c r="ET6" s="401"/>
      <c r="EU6" s="401"/>
      <c r="EV6" s="401"/>
      <c r="EW6" s="401"/>
      <c r="EX6" s="401"/>
      <c r="EY6" s="401"/>
      <c r="EZ6" s="401"/>
      <c r="FA6" s="401"/>
      <c r="FB6" s="401"/>
      <c r="FC6" s="401"/>
      <c r="FH6" s="1791"/>
      <c r="FI6" s="1791"/>
      <c r="FJ6" s="1791"/>
      <c r="FK6" s="1791"/>
      <c r="FL6" s="1791"/>
      <c r="FM6" s="1791"/>
      <c r="FN6" s="1791"/>
    </row>
    <row r="7" spans="1:170" s="403" customFormat="1" ht="57.75" customHeight="1">
      <c r="A7" s="1788"/>
      <c r="B7" s="1788"/>
      <c r="C7" s="1771"/>
      <c r="D7" s="1771"/>
      <c r="E7" s="1771"/>
      <c r="F7" s="1771"/>
      <c r="G7" s="1771"/>
      <c r="H7" s="1771"/>
      <c r="I7" s="1771"/>
      <c r="J7" s="1768"/>
      <c r="K7" s="1768"/>
      <c r="L7" s="1768"/>
      <c r="M7" s="1768"/>
      <c r="N7" s="1781"/>
      <c r="O7" s="404" t="s">
        <v>1173</v>
      </c>
      <c r="P7" s="404" t="s">
        <v>1197</v>
      </c>
      <c r="Q7" s="404" t="s">
        <v>1173</v>
      </c>
      <c r="R7" s="404" t="s">
        <v>1197</v>
      </c>
      <c r="S7" s="404" t="s">
        <v>1173</v>
      </c>
      <c r="T7" s="404" t="s">
        <v>1197</v>
      </c>
      <c r="U7" s="404" t="s">
        <v>1197</v>
      </c>
      <c r="V7" s="404" t="s">
        <v>1173</v>
      </c>
      <c r="W7" s="404" t="s">
        <v>1197</v>
      </c>
      <c r="X7" s="1781"/>
      <c r="Y7" s="404" t="s">
        <v>1173</v>
      </c>
      <c r="Z7" s="404" t="s">
        <v>1197</v>
      </c>
      <c r="AA7" s="404" t="s">
        <v>1173</v>
      </c>
      <c r="AB7" s="404" t="s">
        <v>1197</v>
      </c>
      <c r="AC7" s="404" t="s">
        <v>1173</v>
      </c>
      <c r="AD7" s="404" t="s">
        <v>1197</v>
      </c>
      <c r="AE7" s="404" t="s">
        <v>1197</v>
      </c>
      <c r="AF7" s="404" t="s">
        <v>1173</v>
      </c>
      <c r="AG7" s="404" t="s">
        <v>1197</v>
      </c>
      <c r="AH7" s="1781"/>
      <c r="AI7" s="404" t="s">
        <v>1173</v>
      </c>
      <c r="AJ7" s="404" t="s">
        <v>1197</v>
      </c>
      <c r="AK7" s="404" t="s">
        <v>1173</v>
      </c>
      <c r="AL7" s="404" t="s">
        <v>1197</v>
      </c>
      <c r="AM7" s="404" t="s">
        <v>1173</v>
      </c>
      <c r="AN7" s="404" t="s">
        <v>1197</v>
      </c>
      <c r="AO7" s="404" t="s">
        <v>1197</v>
      </c>
      <c r="AP7" s="404" t="s">
        <v>1173</v>
      </c>
      <c r="AQ7" s="404" t="s">
        <v>1197</v>
      </c>
      <c r="AR7" s="1781"/>
      <c r="AS7" s="404" t="s">
        <v>1173</v>
      </c>
      <c r="AT7" s="404" t="s">
        <v>1197</v>
      </c>
      <c r="AU7" s="404" t="s">
        <v>1173</v>
      </c>
      <c r="AV7" s="404" t="s">
        <v>1197</v>
      </c>
      <c r="AW7" s="404" t="s">
        <v>1173</v>
      </c>
      <c r="AX7" s="404" t="s">
        <v>1197</v>
      </c>
      <c r="AY7" s="404" t="s">
        <v>1197</v>
      </c>
      <c r="AZ7" s="404" t="s">
        <v>1173</v>
      </c>
      <c r="BA7" s="404" t="s">
        <v>1197</v>
      </c>
      <c r="BB7" s="1781"/>
      <c r="BC7" s="404" t="s">
        <v>1173</v>
      </c>
      <c r="BD7" s="404" t="s">
        <v>1197</v>
      </c>
      <c r="BE7" s="404" t="s">
        <v>1173</v>
      </c>
      <c r="BF7" s="404" t="s">
        <v>1197</v>
      </c>
      <c r="BG7" s="404" t="s">
        <v>1173</v>
      </c>
      <c r="BH7" s="404" t="s">
        <v>1197</v>
      </c>
      <c r="BI7" s="404" t="s">
        <v>1197</v>
      </c>
      <c r="BJ7" s="404" t="s">
        <v>1173</v>
      </c>
      <c r="BK7" s="404" t="s">
        <v>1197</v>
      </c>
      <c r="BL7" s="1781"/>
      <c r="BM7" s="404" t="s">
        <v>1173</v>
      </c>
      <c r="BN7" s="404" t="s">
        <v>1197</v>
      </c>
      <c r="BO7" s="404" t="s">
        <v>1173</v>
      </c>
      <c r="BP7" s="404" t="s">
        <v>1197</v>
      </c>
      <c r="BQ7" s="404" t="s">
        <v>1173</v>
      </c>
      <c r="BR7" s="404" t="s">
        <v>1197</v>
      </c>
      <c r="BS7" s="404" t="s">
        <v>1197</v>
      </c>
      <c r="BT7" s="404" t="s">
        <v>1173</v>
      </c>
      <c r="BU7" s="404" t="s">
        <v>1197</v>
      </c>
      <c r="BV7" s="1781"/>
      <c r="BW7" s="404" t="s">
        <v>1173</v>
      </c>
      <c r="BX7" s="404" t="s">
        <v>1197</v>
      </c>
      <c r="BY7" s="404" t="s">
        <v>1173</v>
      </c>
      <c r="BZ7" s="404" t="s">
        <v>1197</v>
      </c>
      <c r="CA7" s="404" t="s">
        <v>1173</v>
      </c>
      <c r="CB7" s="404" t="s">
        <v>1197</v>
      </c>
      <c r="CC7" s="404" t="s">
        <v>1197</v>
      </c>
      <c r="CD7" s="404" t="s">
        <v>1173</v>
      </c>
      <c r="CE7" s="404" t="s">
        <v>1197</v>
      </c>
      <c r="CF7" s="1781"/>
      <c r="CG7" s="404" t="s">
        <v>1173</v>
      </c>
      <c r="CH7" s="404" t="s">
        <v>1197</v>
      </c>
      <c r="CI7" s="404" t="s">
        <v>1173</v>
      </c>
      <c r="CJ7" s="404" t="s">
        <v>1197</v>
      </c>
      <c r="CK7" s="404" t="s">
        <v>1173</v>
      </c>
      <c r="CL7" s="404" t="s">
        <v>1197</v>
      </c>
      <c r="CM7" s="404" t="s">
        <v>1197</v>
      </c>
      <c r="CN7" s="404" t="s">
        <v>1173</v>
      </c>
      <c r="CO7" s="404" t="s">
        <v>1197</v>
      </c>
      <c r="CP7" s="1781"/>
      <c r="CQ7" s="404" t="s">
        <v>1173</v>
      </c>
      <c r="CR7" s="404" t="s">
        <v>1197</v>
      </c>
      <c r="CS7" s="404" t="s">
        <v>1173</v>
      </c>
      <c r="CT7" s="404" t="s">
        <v>1197</v>
      </c>
      <c r="CU7" s="404" t="s">
        <v>1173</v>
      </c>
      <c r="CV7" s="404" t="s">
        <v>1197</v>
      </c>
      <c r="CW7" s="404" t="s">
        <v>1197</v>
      </c>
      <c r="CX7" s="404" t="s">
        <v>1173</v>
      </c>
      <c r="CY7" s="404" t="s">
        <v>1197</v>
      </c>
      <c r="CZ7" s="1781"/>
      <c r="DA7" s="404" t="s">
        <v>1173</v>
      </c>
      <c r="DB7" s="404" t="s">
        <v>1197</v>
      </c>
      <c r="DC7" s="404" t="s">
        <v>1173</v>
      </c>
      <c r="DD7" s="404" t="s">
        <v>1197</v>
      </c>
      <c r="DE7" s="404" t="s">
        <v>1173</v>
      </c>
      <c r="DF7" s="404" t="s">
        <v>1197</v>
      </c>
      <c r="DG7" s="404" t="s">
        <v>1197</v>
      </c>
      <c r="DH7" s="404" t="s">
        <v>1173</v>
      </c>
      <c r="DI7" s="404" t="s">
        <v>1197</v>
      </c>
      <c r="DJ7" s="1781"/>
      <c r="DK7" s="404" t="s">
        <v>1173</v>
      </c>
      <c r="DL7" s="404" t="s">
        <v>1197</v>
      </c>
      <c r="DM7" s="404" t="s">
        <v>1173</v>
      </c>
      <c r="DN7" s="404" t="s">
        <v>1197</v>
      </c>
      <c r="DO7" s="404" t="s">
        <v>1173</v>
      </c>
      <c r="DP7" s="404" t="s">
        <v>1197</v>
      </c>
      <c r="DQ7" s="404" t="s">
        <v>1197</v>
      </c>
      <c r="DR7" s="404" t="s">
        <v>1173</v>
      </c>
      <c r="DS7" s="404" t="s">
        <v>1197</v>
      </c>
      <c r="DT7" s="1781"/>
      <c r="DU7" s="404" t="s">
        <v>1173</v>
      </c>
      <c r="DV7" s="404" t="s">
        <v>1197</v>
      </c>
      <c r="DW7" s="404" t="s">
        <v>1173</v>
      </c>
      <c r="DX7" s="404" t="s">
        <v>1197</v>
      </c>
      <c r="DY7" s="404" t="s">
        <v>1173</v>
      </c>
      <c r="DZ7" s="404" t="s">
        <v>1197</v>
      </c>
      <c r="EA7" s="404" t="s">
        <v>1197</v>
      </c>
      <c r="EB7" s="404" t="s">
        <v>1173</v>
      </c>
      <c r="EC7" s="404" t="s">
        <v>1197</v>
      </c>
      <c r="ED7" s="1779"/>
      <c r="EE7" s="1779"/>
      <c r="EF7" s="404" t="s">
        <v>1173</v>
      </c>
      <c r="EG7" s="404" t="s">
        <v>1197</v>
      </c>
      <c r="EH7" s="404" t="s">
        <v>1173</v>
      </c>
      <c r="EI7" s="404" t="s">
        <v>1197</v>
      </c>
      <c r="EJ7" s="404" t="s">
        <v>1173</v>
      </c>
      <c r="EK7" s="404" t="s">
        <v>1197</v>
      </c>
      <c r="EL7" s="404" t="s">
        <v>1197</v>
      </c>
      <c r="EM7" s="404" t="s">
        <v>1173</v>
      </c>
      <c r="EN7" s="404" t="s">
        <v>1197</v>
      </c>
      <c r="EO7" s="404" t="s">
        <v>1173</v>
      </c>
      <c r="EP7" s="404" t="s">
        <v>1173</v>
      </c>
      <c r="ER7" s="433"/>
      <c r="ES7" s="433"/>
      <c r="ET7" s="433"/>
      <c r="EU7" s="433"/>
      <c r="EV7" s="433"/>
      <c r="EW7" s="433"/>
      <c r="EX7" s="433"/>
      <c r="EY7" s="433"/>
      <c r="EZ7" s="433"/>
      <c r="FA7" s="433"/>
      <c r="FB7" s="433"/>
      <c r="FC7" s="433"/>
      <c r="FH7" s="1791"/>
      <c r="FI7" s="1791"/>
      <c r="FJ7" s="1791"/>
      <c r="FK7" s="1791"/>
      <c r="FL7" s="1791"/>
      <c r="FM7" s="1791"/>
      <c r="FN7" s="1791"/>
    </row>
    <row r="8" spans="1:170" ht="15" customHeight="1">
      <c r="A8" s="410" t="s">
        <v>32</v>
      </c>
      <c r="B8" s="406" t="s">
        <v>1229</v>
      </c>
      <c r="C8" s="407"/>
      <c r="D8" s="407"/>
      <c r="E8" s="407"/>
      <c r="F8" s="407"/>
      <c r="G8" s="407"/>
      <c r="H8" s="407"/>
      <c r="I8" s="407"/>
      <c r="J8" s="407"/>
      <c r="K8" s="407"/>
      <c r="L8" s="407"/>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8"/>
      <c r="BJ8" s="408"/>
      <c r="BK8" s="408"/>
      <c r="BL8" s="408"/>
      <c r="BM8" s="408"/>
      <c r="BN8" s="408"/>
      <c r="BO8" s="408"/>
      <c r="BP8" s="408"/>
      <c r="BQ8" s="408"/>
      <c r="BR8" s="408"/>
      <c r="BS8" s="408"/>
      <c r="BT8" s="408"/>
      <c r="BU8" s="408"/>
      <c r="BV8" s="408"/>
      <c r="BW8" s="408"/>
      <c r="BX8" s="408"/>
      <c r="BY8" s="408"/>
      <c r="BZ8" s="408"/>
      <c r="CA8" s="408"/>
      <c r="CB8" s="408"/>
      <c r="CC8" s="408"/>
      <c r="CD8" s="408"/>
      <c r="CE8" s="408"/>
      <c r="CF8" s="408"/>
      <c r="CG8" s="408"/>
      <c r="CH8" s="408"/>
      <c r="CI8" s="408"/>
      <c r="CJ8" s="408"/>
      <c r="CK8" s="408"/>
      <c r="CL8" s="408"/>
      <c r="CM8" s="408"/>
      <c r="CN8" s="408"/>
      <c r="CO8" s="408"/>
      <c r="CP8" s="408"/>
      <c r="CQ8" s="408"/>
      <c r="CR8" s="408"/>
      <c r="CS8" s="408"/>
      <c r="CT8" s="408"/>
      <c r="CU8" s="408"/>
      <c r="CV8" s="408"/>
      <c r="CW8" s="408"/>
      <c r="CX8" s="408"/>
      <c r="CY8" s="408"/>
      <c r="CZ8" s="408"/>
      <c r="DA8" s="408"/>
      <c r="DB8" s="408"/>
      <c r="DC8" s="408"/>
      <c r="DD8" s="408"/>
      <c r="DE8" s="408"/>
      <c r="DF8" s="408"/>
      <c r="DG8" s="408"/>
      <c r="DH8" s="408"/>
      <c r="DI8" s="408"/>
      <c r="DJ8" s="408"/>
      <c r="DK8" s="408"/>
      <c r="DL8" s="408"/>
      <c r="DM8" s="408"/>
      <c r="DN8" s="408"/>
      <c r="DO8" s="408"/>
      <c r="DP8" s="408"/>
      <c r="DQ8" s="408"/>
      <c r="DR8" s="408"/>
      <c r="DS8" s="408"/>
      <c r="DT8" s="408"/>
      <c r="DU8" s="408"/>
      <c r="DV8" s="408"/>
      <c r="DW8" s="408"/>
      <c r="DX8" s="408"/>
      <c r="DY8" s="408"/>
      <c r="DZ8" s="408"/>
      <c r="EA8" s="408"/>
      <c r="EB8" s="408"/>
      <c r="EC8" s="408"/>
      <c r="ED8" s="408"/>
      <c r="EE8" s="408"/>
      <c r="EF8" s="408"/>
      <c r="EG8" s="408"/>
      <c r="EH8" s="408"/>
      <c r="EI8" s="408"/>
      <c r="EJ8" s="408"/>
      <c r="EK8" s="408"/>
      <c r="EL8" s="408"/>
      <c r="EM8" s="451"/>
      <c r="EN8" s="408"/>
      <c r="EO8" s="408"/>
      <c r="EP8" s="408"/>
      <c r="FG8" s="409"/>
      <c r="FH8" s="409"/>
      <c r="FI8" s="409"/>
      <c r="FJ8" s="409"/>
      <c r="FK8" s="409"/>
      <c r="FL8" s="409"/>
      <c r="FM8" s="409"/>
    </row>
    <row r="9" spans="1:170" ht="28.5">
      <c r="A9" s="410">
        <v>1</v>
      </c>
      <c r="B9" s="57" t="s">
        <v>1288</v>
      </c>
      <c r="C9" s="407"/>
      <c r="D9" s="407"/>
      <c r="E9" s="407"/>
      <c r="F9" s="407"/>
      <c r="G9" s="407"/>
      <c r="H9" s="407"/>
      <c r="I9" s="407"/>
      <c r="J9" s="407"/>
      <c r="K9" s="407"/>
      <c r="L9" s="407"/>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c r="AL9" s="408"/>
      <c r="AM9" s="408"/>
      <c r="AN9" s="408"/>
      <c r="AO9" s="408"/>
      <c r="AP9" s="408"/>
      <c r="AQ9" s="408"/>
      <c r="AR9" s="408"/>
      <c r="AS9" s="408"/>
      <c r="AT9" s="408"/>
      <c r="AU9" s="408"/>
      <c r="AV9" s="408"/>
      <c r="AW9" s="408"/>
      <c r="AX9" s="408"/>
      <c r="AY9" s="408"/>
      <c r="AZ9" s="408"/>
      <c r="BA9" s="408"/>
      <c r="BB9" s="408"/>
      <c r="BC9" s="408"/>
      <c r="BD9" s="408"/>
      <c r="BE9" s="408"/>
      <c r="BF9" s="408"/>
      <c r="BG9" s="408"/>
      <c r="BH9" s="408"/>
      <c r="BI9" s="408"/>
      <c r="BJ9" s="408"/>
      <c r="BK9" s="408"/>
      <c r="BL9" s="408"/>
      <c r="BM9" s="408"/>
      <c r="BN9" s="408"/>
      <c r="BO9" s="408"/>
      <c r="BP9" s="408"/>
      <c r="BQ9" s="408"/>
      <c r="BR9" s="408"/>
      <c r="BS9" s="408"/>
      <c r="BT9" s="408"/>
      <c r="BU9" s="408"/>
      <c r="BV9" s="408"/>
      <c r="BW9" s="408"/>
      <c r="BX9" s="408"/>
      <c r="BY9" s="408"/>
      <c r="BZ9" s="408"/>
      <c r="CA9" s="408"/>
      <c r="CB9" s="408"/>
      <c r="CC9" s="408"/>
      <c r="CD9" s="408"/>
      <c r="CE9" s="408"/>
      <c r="CF9" s="408"/>
      <c r="CG9" s="408"/>
      <c r="CH9" s="408"/>
      <c r="CI9" s="408"/>
      <c r="CJ9" s="408"/>
      <c r="CK9" s="408"/>
      <c r="CL9" s="408"/>
      <c r="CM9" s="408"/>
      <c r="CN9" s="408"/>
      <c r="CO9" s="408"/>
      <c r="CP9" s="408"/>
      <c r="CQ9" s="408"/>
      <c r="CR9" s="408"/>
      <c r="CS9" s="408"/>
      <c r="CT9" s="408"/>
      <c r="CU9" s="408"/>
      <c r="CV9" s="408"/>
      <c r="CW9" s="408"/>
      <c r="CX9" s="408"/>
      <c r="CY9" s="408"/>
      <c r="CZ9" s="408"/>
      <c r="DA9" s="408"/>
      <c r="DB9" s="408"/>
      <c r="DC9" s="408"/>
      <c r="DD9" s="408"/>
      <c r="DE9" s="408"/>
      <c r="DF9" s="408"/>
      <c r="DG9" s="408"/>
      <c r="DH9" s="408"/>
      <c r="DI9" s="408"/>
      <c r="DJ9" s="408"/>
      <c r="DK9" s="408"/>
      <c r="DL9" s="408"/>
      <c r="DM9" s="408"/>
      <c r="DN9" s="408"/>
      <c r="DO9" s="408"/>
      <c r="DP9" s="408"/>
      <c r="DQ9" s="408"/>
      <c r="DR9" s="408"/>
      <c r="DS9" s="408"/>
      <c r="DT9" s="408"/>
      <c r="DU9" s="408"/>
      <c r="DV9" s="408"/>
      <c r="DW9" s="408"/>
      <c r="DX9" s="408"/>
      <c r="DY9" s="408"/>
      <c r="DZ9" s="408"/>
      <c r="EA9" s="408"/>
      <c r="EB9" s="408"/>
      <c r="EC9" s="408"/>
      <c r="ED9" s="408"/>
      <c r="EE9" s="408"/>
      <c r="EF9" s="408"/>
      <c r="EG9" s="408"/>
      <c r="EH9" s="408"/>
      <c r="EI9" s="408"/>
      <c r="EJ9" s="408"/>
      <c r="EK9" s="408"/>
      <c r="EL9" s="408"/>
      <c r="EM9" s="451"/>
      <c r="EN9" s="408"/>
      <c r="EO9" s="408"/>
      <c r="EP9" s="408"/>
      <c r="FG9" s="409"/>
      <c r="FH9" s="409"/>
      <c r="FI9" s="409"/>
      <c r="FJ9" s="409"/>
      <c r="FK9" s="409"/>
      <c r="FL9" s="409"/>
      <c r="FM9" s="409"/>
    </row>
    <row r="10" spans="1:170" ht="15" hidden="1" customHeight="1">
      <c r="A10" s="410"/>
      <c r="B10" s="406"/>
      <c r="C10" s="407"/>
      <c r="D10" s="407"/>
      <c r="E10" s="407"/>
      <c r="F10" s="407"/>
      <c r="G10" s="407"/>
      <c r="H10" s="407"/>
      <c r="I10" s="407"/>
      <c r="J10" s="407"/>
      <c r="K10" s="407"/>
      <c r="L10" s="407"/>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c r="AL10" s="408"/>
      <c r="AM10" s="408"/>
      <c r="AN10" s="408"/>
      <c r="AO10" s="408"/>
      <c r="AP10" s="408"/>
      <c r="AQ10" s="408"/>
      <c r="AR10" s="408"/>
      <c r="AS10" s="408"/>
      <c r="AT10" s="408"/>
      <c r="AU10" s="408"/>
      <c r="AV10" s="408"/>
      <c r="AW10" s="408"/>
      <c r="AX10" s="408"/>
      <c r="AY10" s="408"/>
      <c r="AZ10" s="408"/>
      <c r="BA10" s="408"/>
      <c r="BB10" s="408"/>
      <c r="BC10" s="408"/>
      <c r="BD10" s="408"/>
      <c r="BE10" s="408"/>
      <c r="BF10" s="408"/>
      <c r="BG10" s="408"/>
      <c r="BH10" s="408"/>
      <c r="BI10" s="408"/>
      <c r="BJ10" s="408"/>
      <c r="BK10" s="408"/>
      <c r="BL10" s="408"/>
      <c r="BM10" s="408"/>
      <c r="BN10" s="408"/>
      <c r="BO10" s="408"/>
      <c r="BP10" s="408"/>
      <c r="BQ10" s="408"/>
      <c r="BR10" s="408"/>
      <c r="BS10" s="408"/>
      <c r="BT10" s="408"/>
      <c r="BU10" s="408"/>
      <c r="BV10" s="408"/>
      <c r="BW10" s="408"/>
      <c r="BX10" s="408"/>
      <c r="BY10" s="408"/>
      <c r="BZ10" s="408"/>
      <c r="CA10" s="408"/>
      <c r="CB10" s="408"/>
      <c r="CC10" s="408"/>
      <c r="CD10" s="408"/>
      <c r="CE10" s="408"/>
      <c r="CF10" s="408"/>
      <c r="CG10" s="408"/>
      <c r="CH10" s="408"/>
      <c r="CI10" s="408"/>
      <c r="CJ10" s="408"/>
      <c r="CK10" s="408"/>
      <c r="CL10" s="408"/>
      <c r="CM10" s="408"/>
      <c r="CN10" s="408"/>
      <c r="CO10" s="408"/>
      <c r="CP10" s="408"/>
      <c r="CQ10" s="408"/>
      <c r="CR10" s="408"/>
      <c r="CS10" s="408"/>
      <c r="CT10" s="408"/>
      <c r="CU10" s="408"/>
      <c r="CV10" s="408"/>
      <c r="CW10" s="408"/>
      <c r="CX10" s="408"/>
      <c r="CY10" s="408"/>
      <c r="CZ10" s="408"/>
      <c r="DA10" s="408"/>
      <c r="DB10" s="408"/>
      <c r="DC10" s="408"/>
      <c r="DD10" s="408"/>
      <c r="DE10" s="408"/>
      <c r="DF10" s="408"/>
      <c r="DG10" s="408"/>
      <c r="DH10" s="408"/>
      <c r="DI10" s="408"/>
      <c r="DJ10" s="408"/>
      <c r="DK10" s="408"/>
      <c r="DL10" s="408"/>
      <c r="DM10" s="408"/>
      <c r="DN10" s="408"/>
      <c r="DO10" s="408"/>
      <c r="DP10" s="408"/>
      <c r="DQ10" s="408"/>
      <c r="DR10" s="408"/>
      <c r="DS10" s="408"/>
      <c r="DT10" s="408"/>
      <c r="DU10" s="408"/>
      <c r="DV10" s="408"/>
      <c r="DW10" s="408"/>
      <c r="DX10" s="408"/>
      <c r="DY10" s="408"/>
      <c r="DZ10" s="408"/>
      <c r="EA10" s="408"/>
      <c r="EB10" s="408"/>
      <c r="EC10" s="408"/>
      <c r="ED10" s="408"/>
      <c r="EE10" s="408"/>
      <c r="EF10" s="408"/>
      <c r="EG10" s="408"/>
      <c r="EH10" s="408"/>
      <c r="EI10" s="408"/>
      <c r="EJ10" s="408"/>
      <c r="EK10" s="408"/>
      <c r="EL10" s="408"/>
      <c r="EM10" s="451"/>
      <c r="EN10" s="408"/>
      <c r="EO10" s="408"/>
      <c r="EP10" s="408"/>
      <c r="FG10" s="409"/>
      <c r="FH10" s="409"/>
      <c r="FI10" s="409"/>
      <c r="FJ10" s="409"/>
      <c r="FK10" s="409"/>
      <c r="FL10" s="409"/>
      <c r="FM10" s="409"/>
    </row>
    <row r="11" spans="1:170" ht="15" customHeight="1">
      <c r="A11" s="410">
        <v>2</v>
      </c>
      <c r="B11" s="181" t="s">
        <v>1289</v>
      </c>
      <c r="C11" s="407"/>
      <c r="D11" s="407"/>
      <c r="E11" s="407"/>
      <c r="F11" s="407"/>
      <c r="G11" s="407"/>
      <c r="H11" s="407"/>
      <c r="I11" s="407"/>
      <c r="J11" s="407"/>
      <c r="K11" s="407"/>
      <c r="L11" s="407"/>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c r="AL11" s="408"/>
      <c r="AM11" s="408"/>
      <c r="AN11" s="408"/>
      <c r="AO11" s="408"/>
      <c r="AP11" s="408"/>
      <c r="AQ11" s="408"/>
      <c r="AR11" s="408"/>
      <c r="AS11" s="408"/>
      <c r="AT11" s="408"/>
      <c r="AU11" s="408"/>
      <c r="AV11" s="408"/>
      <c r="AW11" s="408"/>
      <c r="AX11" s="408"/>
      <c r="AY11" s="408"/>
      <c r="AZ11" s="408"/>
      <c r="BA11" s="408"/>
      <c r="BB11" s="408"/>
      <c r="BC11" s="408"/>
      <c r="BD11" s="408"/>
      <c r="BE11" s="408"/>
      <c r="BF11" s="408"/>
      <c r="BG11" s="408"/>
      <c r="BH11" s="408"/>
      <c r="BI11" s="408"/>
      <c r="BJ11" s="408"/>
      <c r="BK11" s="408"/>
      <c r="BL11" s="408"/>
      <c r="BM11" s="408"/>
      <c r="BN11" s="408"/>
      <c r="BO11" s="408"/>
      <c r="BP11" s="408"/>
      <c r="BQ11" s="408"/>
      <c r="BR11" s="408"/>
      <c r="BS11" s="408"/>
      <c r="BT11" s="408"/>
      <c r="BU11" s="408"/>
      <c r="BV11" s="408"/>
      <c r="BW11" s="408"/>
      <c r="BX11" s="408"/>
      <c r="BY11" s="408"/>
      <c r="BZ11" s="408"/>
      <c r="CA11" s="408"/>
      <c r="CB11" s="408"/>
      <c r="CC11" s="408"/>
      <c r="CD11" s="408"/>
      <c r="CE11" s="408"/>
      <c r="CF11" s="408"/>
      <c r="CG11" s="408"/>
      <c r="CH11" s="408"/>
      <c r="CI11" s="408"/>
      <c r="CJ11" s="408"/>
      <c r="CK11" s="408"/>
      <c r="CL11" s="408"/>
      <c r="CM11" s="408"/>
      <c r="CN11" s="408"/>
      <c r="CO11" s="408"/>
      <c r="CP11" s="408"/>
      <c r="CQ11" s="408"/>
      <c r="CR11" s="408"/>
      <c r="CS11" s="408"/>
      <c r="CT11" s="408"/>
      <c r="CU11" s="408"/>
      <c r="CV11" s="408"/>
      <c r="CW11" s="408"/>
      <c r="CX11" s="408"/>
      <c r="CY11" s="408"/>
      <c r="CZ11" s="408"/>
      <c r="DA11" s="408"/>
      <c r="DB11" s="408"/>
      <c r="DC11" s="408"/>
      <c r="DD11" s="408"/>
      <c r="DE11" s="408"/>
      <c r="DF11" s="408"/>
      <c r="DG11" s="408"/>
      <c r="DH11" s="408"/>
      <c r="DI11" s="408"/>
      <c r="DJ11" s="408"/>
      <c r="DK11" s="408"/>
      <c r="DL11" s="408"/>
      <c r="DM11" s="408"/>
      <c r="DN11" s="408"/>
      <c r="DO11" s="408"/>
      <c r="DP11" s="408"/>
      <c r="DQ11" s="408"/>
      <c r="DR11" s="408"/>
      <c r="DS11" s="408"/>
      <c r="DT11" s="408"/>
      <c r="DU11" s="408"/>
      <c r="DV11" s="408"/>
      <c r="DW11" s="408"/>
      <c r="DX11" s="408"/>
      <c r="DY11" s="408"/>
      <c r="DZ11" s="408"/>
      <c r="EA11" s="408"/>
      <c r="EB11" s="408"/>
      <c r="EC11" s="408"/>
      <c r="ED11" s="408"/>
      <c r="EE11" s="408"/>
      <c r="EF11" s="408"/>
      <c r="EG11" s="408"/>
      <c r="EH11" s="408"/>
      <c r="EI11" s="408"/>
      <c r="EJ11" s="408"/>
      <c r="EK11" s="408"/>
      <c r="EL11" s="408"/>
      <c r="EM11" s="451"/>
      <c r="EN11" s="408"/>
      <c r="EO11" s="408"/>
      <c r="EP11" s="408"/>
      <c r="FG11" s="409"/>
      <c r="FH11" s="409"/>
      <c r="FI11" s="409"/>
      <c r="FJ11" s="409"/>
      <c r="FK11" s="409"/>
      <c r="FL11" s="409"/>
      <c r="FM11" s="409"/>
    </row>
    <row r="12" spans="1:170" ht="15" hidden="1" customHeight="1">
      <c r="A12" s="410" t="s">
        <v>82</v>
      </c>
      <c r="B12" s="459" t="s">
        <v>1290</v>
      </c>
      <c r="C12" s="407"/>
      <c r="D12" s="407"/>
      <c r="E12" s="407"/>
      <c r="F12" s="407"/>
      <c r="G12" s="407"/>
      <c r="H12" s="407"/>
      <c r="I12" s="407"/>
      <c r="J12" s="407"/>
      <c r="K12" s="407"/>
      <c r="L12" s="407"/>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c r="AL12" s="408"/>
      <c r="AM12" s="408"/>
      <c r="AN12" s="408"/>
      <c r="AO12" s="408"/>
      <c r="AP12" s="408"/>
      <c r="AQ12" s="408"/>
      <c r="AR12" s="408"/>
      <c r="AS12" s="408"/>
      <c r="AT12" s="408"/>
      <c r="AU12" s="408"/>
      <c r="AV12" s="408"/>
      <c r="AW12" s="408"/>
      <c r="AX12" s="408"/>
      <c r="AY12" s="408"/>
      <c r="AZ12" s="408"/>
      <c r="BA12" s="408"/>
      <c r="BB12" s="408"/>
      <c r="BC12" s="408"/>
      <c r="BD12" s="408"/>
      <c r="BE12" s="408"/>
      <c r="BF12" s="408"/>
      <c r="BG12" s="408"/>
      <c r="BH12" s="408"/>
      <c r="BI12" s="408"/>
      <c r="BJ12" s="408"/>
      <c r="BK12" s="408"/>
      <c r="BL12" s="408"/>
      <c r="BM12" s="408"/>
      <c r="BN12" s="408"/>
      <c r="BO12" s="408"/>
      <c r="BP12" s="408"/>
      <c r="BQ12" s="408"/>
      <c r="BR12" s="408"/>
      <c r="BS12" s="408"/>
      <c r="BT12" s="408"/>
      <c r="BU12" s="408"/>
      <c r="BV12" s="408"/>
      <c r="BW12" s="408"/>
      <c r="BX12" s="408"/>
      <c r="BY12" s="408"/>
      <c r="BZ12" s="408"/>
      <c r="CA12" s="408"/>
      <c r="CB12" s="408"/>
      <c r="CC12" s="408"/>
      <c r="CD12" s="408"/>
      <c r="CE12" s="408"/>
      <c r="CF12" s="408"/>
      <c r="CG12" s="408"/>
      <c r="CH12" s="408"/>
      <c r="CI12" s="408"/>
      <c r="CJ12" s="408"/>
      <c r="CK12" s="408"/>
      <c r="CL12" s="408"/>
      <c r="CM12" s="408"/>
      <c r="CN12" s="408"/>
      <c r="CO12" s="408"/>
      <c r="CP12" s="408"/>
      <c r="CQ12" s="408"/>
      <c r="CR12" s="408"/>
      <c r="CS12" s="408"/>
      <c r="CT12" s="408"/>
      <c r="CU12" s="408"/>
      <c r="CV12" s="408"/>
      <c r="CW12" s="408"/>
      <c r="CX12" s="408"/>
      <c r="CY12" s="408"/>
      <c r="CZ12" s="408"/>
      <c r="DA12" s="408"/>
      <c r="DB12" s="408"/>
      <c r="DC12" s="408"/>
      <c r="DD12" s="408"/>
      <c r="DE12" s="408"/>
      <c r="DF12" s="408"/>
      <c r="DG12" s="408"/>
      <c r="DH12" s="408"/>
      <c r="DI12" s="408"/>
      <c r="DJ12" s="408"/>
      <c r="DK12" s="408"/>
      <c r="DL12" s="408"/>
      <c r="DM12" s="408"/>
      <c r="DN12" s="408"/>
      <c r="DO12" s="408"/>
      <c r="DP12" s="408"/>
      <c r="DQ12" s="408"/>
      <c r="DR12" s="408"/>
      <c r="DS12" s="408"/>
      <c r="DT12" s="408"/>
      <c r="DU12" s="408"/>
      <c r="DV12" s="408"/>
      <c r="DW12" s="408"/>
      <c r="DX12" s="408"/>
      <c r="DY12" s="408"/>
      <c r="DZ12" s="408"/>
      <c r="EA12" s="408"/>
      <c r="EB12" s="408"/>
      <c r="EC12" s="408"/>
      <c r="ED12" s="408"/>
      <c r="EE12" s="408"/>
      <c r="EF12" s="408"/>
      <c r="EG12" s="408"/>
      <c r="EH12" s="408"/>
      <c r="EI12" s="408"/>
      <c r="EJ12" s="408"/>
      <c r="EK12" s="408"/>
      <c r="EL12" s="408"/>
      <c r="EM12" s="451"/>
      <c r="EN12" s="408"/>
      <c r="EO12" s="408"/>
      <c r="EP12" s="408"/>
      <c r="FG12" s="409"/>
      <c r="FH12" s="409"/>
      <c r="FI12" s="409"/>
      <c r="FJ12" s="409"/>
      <c r="FK12" s="409"/>
      <c r="FL12" s="409"/>
      <c r="FM12" s="409"/>
    </row>
    <row r="13" spans="1:170" ht="15" hidden="1" customHeight="1">
      <c r="A13" s="410" t="s">
        <v>83</v>
      </c>
      <c r="B13" s="459" t="s">
        <v>1291</v>
      </c>
      <c r="C13" s="407"/>
      <c r="D13" s="407"/>
      <c r="E13" s="407"/>
      <c r="F13" s="407"/>
      <c r="G13" s="407"/>
      <c r="H13" s="407"/>
      <c r="I13" s="407"/>
      <c r="J13" s="407"/>
      <c r="K13" s="407"/>
      <c r="L13" s="407"/>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c r="AL13" s="408"/>
      <c r="AM13" s="408"/>
      <c r="AN13" s="408"/>
      <c r="AO13" s="408"/>
      <c r="AP13" s="408"/>
      <c r="AQ13" s="408"/>
      <c r="AR13" s="408"/>
      <c r="AS13" s="408"/>
      <c r="AT13" s="408"/>
      <c r="AU13" s="408"/>
      <c r="AV13" s="408"/>
      <c r="AW13" s="408"/>
      <c r="AX13" s="408"/>
      <c r="AY13" s="408"/>
      <c r="AZ13" s="408"/>
      <c r="BA13" s="408"/>
      <c r="BB13" s="408"/>
      <c r="BC13" s="408"/>
      <c r="BD13" s="408"/>
      <c r="BE13" s="408"/>
      <c r="BF13" s="408"/>
      <c r="BG13" s="408"/>
      <c r="BH13" s="408"/>
      <c r="BI13" s="408"/>
      <c r="BJ13" s="408"/>
      <c r="BK13" s="408"/>
      <c r="BL13" s="408"/>
      <c r="BM13" s="408"/>
      <c r="BN13" s="408"/>
      <c r="BO13" s="408"/>
      <c r="BP13" s="408"/>
      <c r="BQ13" s="408"/>
      <c r="BR13" s="408"/>
      <c r="BS13" s="408"/>
      <c r="BT13" s="408"/>
      <c r="BU13" s="408"/>
      <c r="BV13" s="408"/>
      <c r="BW13" s="408"/>
      <c r="BX13" s="408"/>
      <c r="BY13" s="408"/>
      <c r="BZ13" s="408"/>
      <c r="CA13" s="408"/>
      <c r="CB13" s="408"/>
      <c r="CC13" s="408"/>
      <c r="CD13" s="408"/>
      <c r="CE13" s="408"/>
      <c r="CF13" s="408"/>
      <c r="CG13" s="408"/>
      <c r="CH13" s="408"/>
      <c r="CI13" s="408"/>
      <c r="CJ13" s="408"/>
      <c r="CK13" s="408"/>
      <c r="CL13" s="408"/>
      <c r="CM13" s="408"/>
      <c r="CN13" s="408"/>
      <c r="CO13" s="408"/>
      <c r="CP13" s="408"/>
      <c r="CQ13" s="408"/>
      <c r="CR13" s="408"/>
      <c r="CS13" s="408"/>
      <c r="CT13" s="408"/>
      <c r="CU13" s="408"/>
      <c r="CV13" s="408"/>
      <c r="CW13" s="408"/>
      <c r="CX13" s="408"/>
      <c r="CY13" s="408"/>
      <c r="CZ13" s="408"/>
      <c r="DA13" s="408"/>
      <c r="DB13" s="408"/>
      <c r="DC13" s="408"/>
      <c r="DD13" s="408"/>
      <c r="DE13" s="408"/>
      <c r="DF13" s="408"/>
      <c r="DG13" s="408"/>
      <c r="DH13" s="408"/>
      <c r="DI13" s="408"/>
      <c r="DJ13" s="408"/>
      <c r="DK13" s="408"/>
      <c r="DL13" s="408"/>
      <c r="DM13" s="408"/>
      <c r="DN13" s="408"/>
      <c r="DO13" s="408"/>
      <c r="DP13" s="408"/>
      <c r="DQ13" s="408"/>
      <c r="DR13" s="408"/>
      <c r="DS13" s="408"/>
      <c r="DT13" s="408"/>
      <c r="DU13" s="408"/>
      <c r="DV13" s="408"/>
      <c r="DW13" s="408"/>
      <c r="DX13" s="408"/>
      <c r="DY13" s="408"/>
      <c r="DZ13" s="408"/>
      <c r="EA13" s="408"/>
      <c r="EB13" s="408"/>
      <c r="EC13" s="408"/>
      <c r="ED13" s="408"/>
      <c r="EE13" s="408"/>
      <c r="EF13" s="408"/>
      <c r="EG13" s="408"/>
      <c r="EH13" s="408"/>
      <c r="EI13" s="408"/>
      <c r="EJ13" s="408"/>
      <c r="EK13" s="408"/>
      <c r="EL13" s="408"/>
      <c r="EM13" s="451"/>
      <c r="EN13" s="408"/>
      <c r="EO13" s="408"/>
      <c r="EP13" s="408"/>
      <c r="FG13" s="409"/>
      <c r="FH13" s="409"/>
      <c r="FI13" s="409"/>
      <c r="FJ13" s="409"/>
      <c r="FK13" s="409"/>
      <c r="FL13" s="409"/>
      <c r="FM13" s="409"/>
    </row>
    <row r="14" spans="1:170" ht="15" hidden="1" customHeight="1">
      <c r="A14" s="410" t="s">
        <v>86</v>
      </c>
      <c r="B14" s="459" t="s">
        <v>1292</v>
      </c>
      <c r="C14" s="407"/>
      <c r="D14" s="407"/>
      <c r="E14" s="407"/>
      <c r="F14" s="407"/>
      <c r="G14" s="407"/>
      <c r="H14" s="407"/>
      <c r="I14" s="407"/>
      <c r="J14" s="407"/>
      <c r="K14" s="407"/>
      <c r="L14" s="407"/>
      <c r="M14" s="408"/>
      <c r="N14" s="408"/>
      <c r="O14" s="408"/>
      <c r="P14" s="408"/>
      <c r="Q14" s="408"/>
      <c r="R14" s="408"/>
      <c r="S14" s="408"/>
      <c r="T14" s="408"/>
      <c r="U14" s="408"/>
      <c r="V14" s="408"/>
      <c r="W14" s="408"/>
      <c r="X14" s="408"/>
      <c r="Y14" s="408"/>
      <c r="Z14" s="408"/>
      <c r="AA14" s="408"/>
      <c r="AB14" s="408"/>
      <c r="AC14" s="408"/>
      <c r="AD14" s="408"/>
      <c r="AE14" s="408"/>
      <c r="AF14" s="408"/>
      <c r="AG14" s="408"/>
      <c r="AH14" s="408"/>
      <c r="AI14" s="408"/>
      <c r="AJ14" s="408"/>
      <c r="AK14" s="408"/>
      <c r="AL14" s="408"/>
      <c r="AM14" s="408"/>
      <c r="AN14" s="408"/>
      <c r="AO14" s="408"/>
      <c r="AP14" s="408"/>
      <c r="AQ14" s="408"/>
      <c r="AR14" s="408"/>
      <c r="AS14" s="408"/>
      <c r="AT14" s="408"/>
      <c r="AU14" s="408"/>
      <c r="AV14" s="408"/>
      <c r="AW14" s="408"/>
      <c r="AX14" s="408"/>
      <c r="AY14" s="408"/>
      <c r="AZ14" s="408"/>
      <c r="BA14" s="408"/>
      <c r="BB14" s="408"/>
      <c r="BC14" s="408"/>
      <c r="BD14" s="408"/>
      <c r="BE14" s="408"/>
      <c r="BF14" s="408"/>
      <c r="BG14" s="408"/>
      <c r="BH14" s="408"/>
      <c r="BI14" s="408"/>
      <c r="BJ14" s="408"/>
      <c r="BK14" s="408"/>
      <c r="BL14" s="408"/>
      <c r="BM14" s="408"/>
      <c r="BN14" s="408"/>
      <c r="BO14" s="408"/>
      <c r="BP14" s="408"/>
      <c r="BQ14" s="408"/>
      <c r="BR14" s="408"/>
      <c r="BS14" s="408"/>
      <c r="BT14" s="408"/>
      <c r="BU14" s="408"/>
      <c r="BV14" s="408"/>
      <c r="BW14" s="408"/>
      <c r="BX14" s="408"/>
      <c r="BY14" s="408"/>
      <c r="BZ14" s="408"/>
      <c r="CA14" s="408"/>
      <c r="CB14" s="408"/>
      <c r="CC14" s="408"/>
      <c r="CD14" s="408"/>
      <c r="CE14" s="408"/>
      <c r="CF14" s="408"/>
      <c r="CG14" s="408"/>
      <c r="CH14" s="408"/>
      <c r="CI14" s="408"/>
      <c r="CJ14" s="408"/>
      <c r="CK14" s="408"/>
      <c r="CL14" s="408"/>
      <c r="CM14" s="408"/>
      <c r="CN14" s="408"/>
      <c r="CO14" s="408"/>
      <c r="CP14" s="408"/>
      <c r="CQ14" s="408"/>
      <c r="CR14" s="408"/>
      <c r="CS14" s="408"/>
      <c r="CT14" s="408"/>
      <c r="CU14" s="408"/>
      <c r="CV14" s="408"/>
      <c r="CW14" s="408"/>
      <c r="CX14" s="408"/>
      <c r="CY14" s="408"/>
      <c r="CZ14" s="408"/>
      <c r="DA14" s="408"/>
      <c r="DB14" s="408"/>
      <c r="DC14" s="408"/>
      <c r="DD14" s="408"/>
      <c r="DE14" s="408"/>
      <c r="DF14" s="408"/>
      <c r="DG14" s="408"/>
      <c r="DH14" s="408"/>
      <c r="DI14" s="408"/>
      <c r="DJ14" s="408"/>
      <c r="DK14" s="408"/>
      <c r="DL14" s="408"/>
      <c r="DM14" s="408"/>
      <c r="DN14" s="408"/>
      <c r="DO14" s="408"/>
      <c r="DP14" s="408"/>
      <c r="DQ14" s="408"/>
      <c r="DR14" s="408"/>
      <c r="DS14" s="408"/>
      <c r="DT14" s="408"/>
      <c r="DU14" s="408"/>
      <c r="DV14" s="408"/>
      <c r="DW14" s="408"/>
      <c r="DX14" s="408"/>
      <c r="DY14" s="408"/>
      <c r="DZ14" s="408"/>
      <c r="EA14" s="408"/>
      <c r="EB14" s="408"/>
      <c r="EC14" s="408"/>
      <c r="ED14" s="408"/>
      <c r="EE14" s="408"/>
      <c r="EF14" s="408"/>
      <c r="EG14" s="408"/>
      <c r="EH14" s="408"/>
      <c r="EI14" s="408"/>
      <c r="EJ14" s="408"/>
      <c r="EK14" s="408"/>
      <c r="EL14" s="408"/>
      <c r="EM14" s="451"/>
      <c r="EN14" s="408"/>
      <c r="EO14" s="408"/>
      <c r="EP14" s="408"/>
      <c r="FG14" s="409"/>
      <c r="FH14" s="409"/>
      <c r="FI14" s="409"/>
      <c r="FJ14" s="409"/>
      <c r="FK14" s="409"/>
      <c r="FL14" s="409"/>
      <c r="FM14" s="409"/>
    </row>
    <row r="15" spans="1:170" ht="15" hidden="1" customHeight="1">
      <c r="A15" s="410" t="s">
        <v>217</v>
      </c>
      <c r="B15" s="459" t="s">
        <v>1293</v>
      </c>
      <c r="C15" s="407"/>
      <c r="D15" s="407"/>
      <c r="E15" s="407"/>
      <c r="F15" s="407"/>
      <c r="G15" s="407"/>
      <c r="H15" s="407"/>
      <c r="I15" s="407"/>
      <c r="J15" s="407"/>
      <c r="K15" s="407"/>
      <c r="L15" s="407"/>
      <c r="M15" s="408"/>
      <c r="N15" s="408"/>
      <c r="O15" s="408"/>
      <c r="P15" s="408"/>
      <c r="Q15" s="408"/>
      <c r="R15" s="408"/>
      <c r="S15" s="408"/>
      <c r="T15" s="408"/>
      <c r="U15" s="408"/>
      <c r="V15" s="408"/>
      <c r="W15" s="408"/>
      <c r="X15" s="408"/>
      <c r="Y15" s="408"/>
      <c r="Z15" s="408"/>
      <c r="AA15" s="408"/>
      <c r="AB15" s="408"/>
      <c r="AC15" s="408"/>
      <c r="AD15" s="408"/>
      <c r="AE15" s="408"/>
      <c r="AF15" s="408"/>
      <c r="AG15" s="408"/>
      <c r="AH15" s="408"/>
      <c r="AI15" s="408"/>
      <c r="AJ15" s="408"/>
      <c r="AK15" s="408"/>
      <c r="AL15" s="408"/>
      <c r="AM15" s="408"/>
      <c r="AN15" s="408"/>
      <c r="AO15" s="408"/>
      <c r="AP15" s="408"/>
      <c r="AQ15" s="408"/>
      <c r="AR15" s="408"/>
      <c r="AS15" s="408"/>
      <c r="AT15" s="408"/>
      <c r="AU15" s="408"/>
      <c r="AV15" s="408"/>
      <c r="AW15" s="408"/>
      <c r="AX15" s="408"/>
      <c r="AY15" s="408"/>
      <c r="AZ15" s="408"/>
      <c r="BA15" s="408"/>
      <c r="BB15" s="408"/>
      <c r="BC15" s="408"/>
      <c r="BD15" s="408"/>
      <c r="BE15" s="408"/>
      <c r="BF15" s="408"/>
      <c r="BG15" s="408"/>
      <c r="BH15" s="408"/>
      <c r="BI15" s="408"/>
      <c r="BJ15" s="408"/>
      <c r="BK15" s="408"/>
      <c r="BL15" s="408"/>
      <c r="BM15" s="408"/>
      <c r="BN15" s="408"/>
      <c r="BO15" s="408"/>
      <c r="BP15" s="408"/>
      <c r="BQ15" s="408"/>
      <c r="BR15" s="408"/>
      <c r="BS15" s="408"/>
      <c r="BT15" s="408"/>
      <c r="BU15" s="408"/>
      <c r="BV15" s="408"/>
      <c r="BW15" s="408"/>
      <c r="BX15" s="408"/>
      <c r="BY15" s="408"/>
      <c r="BZ15" s="408"/>
      <c r="CA15" s="408"/>
      <c r="CB15" s="408"/>
      <c r="CC15" s="408"/>
      <c r="CD15" s="408"/>
      <c r="CE15" s="408"/>
      <c r="CF15" s="408"/>
      <c r="CG15" s="408"/>
      <c r="CH15" s="408"/>
      <c r="CI15" s="408"/>
      <c r="CJ15" s="408"/>
      <c r="CK15" s="408"/>
      <c r="CL15" s="408"/>
      <c r="CM15" s="408"/>
      <c r="CN15" s="408"/>
      <c r="CO15" s="408"/>
      <c r="CP15" s="408"/>
      <c r="CQ15" s="408"/>
      <c r="CR15" s="408"/>
      <c r="CS15" s="408"/>
      <c r="CT15" s="408"/>
      <c r="CU15" s="408"/>
      <c r="CV15" s="408"/>
      <c r="CW15" s="408"/>
      <c r="CX15" s="408"/>
      <c r="CY15" s="408"/>
      <c r="CZ15" s="408"/>
      <c r="DA15" s="408"/>
      <c r="DB15" s="408"/>
      <c r="DC15" s="408"/>
      <c r="DD15" s="408"/>
      <c r="DE15" s="408"/>
      <c r="DF15" s="408"/>
      <c r="DG15" s="408"/>
      <c r="DH15" s="408"/>
      <c r="DI15" s="408"/>
      <c r="DJ15" s="408"/>
      <c r="DK15" s="408"/>
      <c r="DL15" s="408"/>
      <c r="DM15" s="408"/>
      <c r="DN15" s="408"/>
      <c r="DO15" s="408"/>
      <c r="DP15" s="408"/>
      <c r="DQ15" s="408"/>
      <c r="DR15" s="408"/>
      <c r="DS15" s="408"/>
      <c r="DT15" s="408"/>
      <c r="DU15" s="408"/>
      <c r="DV15" s="408"/>
      <c r="DW15" s="408"/>
      <c r="DX15" s="408"/>
      <c r="DY15" s="408"/>
      <c r="DZ15" s="408"/>
      <c r="EA15" s="408"/>
      <c r="EB15" s="408"/>
      <c r="EC15" s="408"/>
      <c r="ED15" s="408"/>
      <c r="EE15" s="408"/>
      <c r="EF15" s="408"/>
      <c r="EG15" s="408"/>
      <c r="EH15" s="408"/>
      <c r="EI15" s="408"/>
      <c r="EJ15" s="408"/>
      <c r="EK15" s="408"/>
      <c r="EL15" s="408"/>
      <c r="EM15" s="451"/>
      <c r="EN15" s="408"/>
      <c r="EO15" s="408"/>
      <c r="EP15" s="408"/>
      <c r="FG15" s="409"/>
      <c r="FH15" s="409"/>
      <c r="FI15" s="409"/>
      <c r="FJ15" s="409"/>
      <c r="FK15" s="409"/>
      <c r="FL15" s="409"/>
      <c r="FM15" s="409"/>
    </row>
    <row r="16" spans="1:170" ht="15" hidden="1" customHeight="1">
      <c r="A16" s="410" t="s">
        <v>218</v>
      </c>
      <c r="B16" s="459" t="s">
        <v>1294</v>
      </c>
      <c r="C16" s="407"/>
      <c r="D16" s="407"/>
      <c r="E16" s="407"/>
      <c r="F16" s="407"/>
      <c r="G16" s="407"/>
      <c r="H16" s="407"/>
      <c r="I16" s="407"/>
      <c r="J16" s="407"/>
      <c r="K16" s="407"/>
      <c r="L16" s="407"/>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8"/>
      <c r="AY16" s="408"/>
      <c r="AZ16" s="408"/>
      <c r="BA16" s="408"/>
      <c r="BB16" s="408"/>
      <c r="BC16" s="408"/>
      <c r="BD16" s="408"/>
      <c r="BE16" s="408"/>
      <c r="BF16" s="408"/>
      <c r="BG16" s="408"/>
      <c r="BH16" s="408"/>
      <c r="BI16" s="408"/>
      <c r="BJ16" s="408"/>
      <c r="BK16" s="408"/>
      <c r="BL16" s="408"/>
      <c r="BM16" s="408"/>
      <c r="BN16" s="408"/>
      <c r="BO16" s="408"/>
      <c r="BP16" s="408"/>
      <c r="BQ16" s="408"/>
      <c r="BR16" s="408"/>
      <c r="BS16" s="408"/>
      <c r="BT16" s="408"/>
      <c r="BU16" s="408"/>
      <c r="BV16" s="408"/>
      <c r="BW16" s="408"/>
      <c r="BX16" s="408"/>
      <c r="BY16" s="408"/>
      <c r="BZ16" s="408"/>
      <c r="CA16" s="408"/>
      <c r="CB16" s="408"/>
      <c r="CC16" s="408"/>
      <c r="CD16" s="408"/>
      <c r="CE16" s="408"/>
      <c r="CF16" s="408"/>
      <c r="CG16" s="408"/>
      <c r="CH16" s="408"/>
      <c r="CI16" s="408"/>
      <c r="CJ16" s="408"/>
      <c r="CK16" s="408"/>
      <c r="CL16" s="408"/>
      <c r="CM16" s="408"/>
      <c r="CN16" s="408"/>
      <c r="CO16" s="408"/>
      <c r="CP16" s="408"/>
      <c r="CQ16" s="408"/>
      <c r="CR16" s="408"/>
      <c r="CS16" s="408"/>
      <c r="CT16" s="408"/>
      <c r="CU16" s="408"/>
      <c r="CV16" s="408"/>
      <c r="CW16" s="408"/>
      <c r="CX16" s="408"/>
      <c r="CY16" s="408"/>
      <c r="CZ16" s="408"/>
      <c r="DA16" s="408"/>
      <c r="DB16" s="408"/>
      <c r="DC16" s="408"/>
      <c r="DD16" s="408"/>
      <c r="DE16" s="408"/>
      <c r="DF16" s="408"/>
      <c r="DG16" s="408"/>
      <c r="DH16" s="408"/>
      <c r="DI16" s="408"/>
      <c r="DJ16" s="408"/>
      <c r="DK16" s="408"/>
      <c r="DL16" s="408"/>
      <c r="DM16" s="408"/>
      <c r="DN16" s="408"/>
      <c r="DO16" s="408"/>
      <c r="DP16" s="408"/>
      <c r="DQ16" s="408"/>
      <c r="DR16" s="408"/>
      <c r="DS16" s="408"/>
      <c r="DT16" s="408"/>
      <c r="DU16" s="408"/>
      <c r="DV16" s="408"/>
      <c r="DW16" s="408"/>
      <c r="DX16" s="408"/>
      <c r="DY16" s="408"/>
      <c r="DZ16" s="408"/>
      <c r="EA16" s="408"/>
      <c r="EB16" s="408"/>
      <c r="EC16" s="408"/>
      <c r="ED16" s="408"/>
      <c r="EE16" s="408"/>
      <c r="EF16" s="408"/>
      <c r="EG16" s="408"/>
      <c r="EH16" s="408"/>
      <c r="EI16" s="408"/>
      <c r="EJ16" s="408"/>
      <c r="EK16" s="408"/>
      <c r="EL16" s="408"/>
      <c r="EM16" s="451"/>
      <c r="EN16" s="408"/>
      <c r="EO16" s="408"/>
      <c r="EP16" s="408"/>
      <c r="FG16" s="409"/>
      <c r="FH16" s="409"/>
      <c r="FI16" s="409"/>
      <c r="FJ16" s="409"/>
      <c r="FK16" s="409"/>
      <c r="FL16" s="409"/>
      <c r="FM16" s="409"/>
    </row>
    <row r="17" spans="1:169" ht="15" hidden="1" customHeight="1">
      <c r="A17" s="410" t="s">
        <v>1297</v>
      </c>
      <c r="B17" s="459" t="s">
        <v>1295</v>
      </c>
      <c r="C17" s="407"/>
      <c r="D17" s="407"/>
      <c r="E17" s="407"/>
      <c r="F17" s="407"/>
      <c r="G17" s="407"/>
      <c r="H17" s="407"/>
      <c r="I17" s="407"/>
      <c r="J17" s="407"/>
      <c r="K17" s="407"/>
      <c r="L17" s="407"/>
      <c r="M17" s="408"/>
      <c r="N17" s="408"/>
      <c r="O17" s="408"/>
      <c r="P17" s="408"/>
      <c r="Q17" s="408"/>
      <c r="R17" s="408"/>
      <c r="S17" s="408"/>
      <c r="T17" s="408"/>
      <c r="U17" s="408"/>
      <c r="V17" s="408"/>
      <c r="W17" s="408"/>
      <c r="X17" s="408"/>
      <c r="Y17" s="408"/>
      <c r="Z17" s="408"/>
      <c r="AA17" s="408"/>
      <c r="AB17" s="408"/>
      <c r="AC17" s="408"/>
      <c r="AD17" s="408"/>
      <c r="AE17" s="408"/>
      <c r="AF17" s="408"/>
      <c r="AG17" s="408"/>
      <c r="AH17" s="408"/>
      <c r="AI17" s="408"/>
      <c r="AJ17" s="408"/>
      <c r="AK17" s="408"/>
      <c r="AL17" s="408"/>
      <c r="AM17" s="408"/>
      <c r="AN17" s="408"/>
      <c r="AO17" s="408"/>
      <c r="AP17" s="408"/>
      <c r="AQ17" s="408"/>
      <c r="AR17" s="408"/>
      <c r="AS17" s="408"/>
      <c r="AT17" s="408"/>
      <c r="AU17" s="408"/>
      <c r="AV17" s="408"/>
      <c r="AW17" s="408"/>
      <c r="AX17" s="408"/>
      <c r="AY17" s="408"/>
      <c r="AZ17" s="408"/>
      <c r="BA17" s="408"/>
      <c r="BB17" s="408"/>
      <c r="BC17" s="408"/>
      <c r="BD17" s="408"/>
      <c r="BE17" s="408"/>
      <c r="BF17" s="408"/>
      <c r="BG17" s="408"/>
      <c r="BH17" s="408"/>
      <c r="BI17" s="408"/>
      <c r="BJ17" s="408"/>
      <c r="BK17" s="408"/>
      <c r="BL17" s="408"/>
      <c r="BM17" s="408"/>
      <c r="BN17" s="408"/>
      <c r="BO17" s="408"/>
      <c r="BP17" s="408"/>
      <c r="BQ17" s="408"/>
      <c r="BR17" s="408"/>
      <c r="BS17" s="408"/>
      <c r="BT17" s="408"/>
      <c r="BU17" s="408"/>
      <c r="BV17" s="408"/>
      <c r="BW17" s="408"/>
      <c r="BX17" s="408"/>
      <c r="BY17" s="408"/>
      <c r="BZ17" s="408"/>
      <c r="CA17" s="408"/>
      <c r="CB17" s="408"/>
      <c r="CC17" s="408"/>
      <c r="CD17" s="408"/>
      <c r="CE17" s="408"/>
      <c r="CF17" s="408"/>
      <c r="CG17" s="408"/>
      <c r="CH17" s="408"/>
      <c r="CI17" s="408"/>
      <c r="CJ17" s="408"/>
      <c r="CK17" s="408"/>
      <c r="CL17" s="408"/>
      <c r="CM17" s="408"/>
      <c r="CN17" s="408"/>
      <c r="CO17" s="408"/>
      <c r="CP17" s="408"/>
      <c r="CQ17" s="408"/>
      <c r="CR17" s="408"/>
      <c r="CS17" s="408"/>
      <c r="CT17" s="408"/>
      <c r="CU17" s="408"/>
      <c r="CV17" s="408"/>
      <c r="CW17" s="408"/>
      <c r="CX17" s="408"/>
      <c r="CY17" s="408"/>
      <c r="CZ17" s="408"/>
      <c r="DA17" s="408"/>
      <c r="DB17" s="408"/>
      <c r="DC17" s="408"/>
      <c r="DD17" s="408"/>
      <c r="DE17" s="408"/>
      <c r="DF17" s="408"/>
      <c r="DG17" s="408"/>
      <c r="DH17" s="408"/>
      <c r="DI17" s="408"/>
      <c r="DJ17" s="408"/>
      <c r="DK17" s="408"/>
      <c r="DL17" s="408"/>
      <c r="DM17" s="408"/>
      <c r="DN17" s="408"/>
      <c r="DO17" s="408"/>
      <c r="DP17" s="408"/>
      <c r="DQ17" s="408"/>
      <c r="DR17" s="408"/>
      <c r="DS17" s="408"/>
      <c r="DT17" s="408"/>
      <c r="DU17" s="408"/>
      <c r="DV17" s="408"/>
      <c r="DW17" s="408"/>
      <c r="DX17" s="408"/>
      <c r="DY17" s="408"/>
      <c r="DZ17" s="408"/>
      <c r="EA17" s="408"/>
      <c r="EB17" s="408"/>
      <c r="EC17" s="408"/>
      <c r="ED17" s="408"/>
      <c r="EE17" s="408"/>
      <c r="EF17" s="408"/>
      <c r="EG17" s="408"/>
      <c r="EH17" s="408"/>
      <c r="EI17" s="408"/>
      <c r="EJ17" s="408"/>
      <c r="EK17" s="408"/>
      <c r="EL17" s="408"/>
      <c r="EM17" s="451"/>
      <c r="EN17" s="408"/>
      <c r="EO17" s="408"/>
      <c r="EP17" s="408"/>
      <c r="FG17" s="409"/>
      <c r="FH17" s="409"/>
      <c r="FI17" s="409"/>
      <c r="FJ17" s="409"/>
      <c r="FK17" s="409"/>
      <c r="FL17" s="409"/>
      <c r="FM17" s="409"/>
    </row>
    <row r="18" spans="1:169" ht="15" hidden="1" customHeight="1">
      <c r="A18" s="410" t="s">
        <v>1298</v>
      </c>
      <c r="B18" s="459" t="s">
        <v>1296</v>
      </c>
      <c r="C18" s="407"/>
      <c r="D18" s="407"/>
      <c r="E18" s="407"/>
      <c r="F18" s="407"/>
      <c r="G18" s="407"/>
      <c r="H18" s="407"/>
      <c r="I18" s="407"/>
      <c r="J18" s="407"/>
      <c r="K18" s="407"/>
      <c r="L18" s="407"/>
      <c r="M18" s="408"/>
      <c r="N18" s="408"/>
      <c r="O18" s="408"/>
      <c r="P18" s="408"/>
      <c r="Q18" s="408"/>
      <c r="R18" s="408"/>
      <c r="S18" s="408"/>
      <c r="T18" s="408"/>
      <c r="U18" s="408"/>
      <c r="V18" s="408"/>
      <c r="W18" s="408"/>
      <c r="X18" s="408"/>
      <c r="Y18" s="408"/>
      <c r="Z18" s="408"/>
      <c r="AA18" s="408"/>
      <c r="AB18" s="408"/>
      <c r="AC18" s="408"/>
      <c r="AD18" s="408"/>
      <c r="AE18" s="408"/>
      <c r="AF18" s="408"/>
      <c r="AG18" s="408"/>
      <c r="AH18" s="408"/>
      <c r="AI18" s="408"/>
      <c r="AJ18" s="408"/>
      <c r="AK18" s="408"/>
      <c r="AL18" s="408"/>
      <c r="AM18" s="408"/>
      <c r="AN18" s="408"/>
      <c r="AO18" s="408"/>
      <c r="AP18" s="408"/>
      <c r="AQ18" s="408"/>
      <c r="AR18" s="408"/>
      <c r="AS18" s="408"/>
      <c r="AT18" s="408"/>
      <c r="AU18" s="408"/>
      <c r="AV18" s="408"/>
      <c r="AW18" s="408"/>
      <c r="AX18" s="408"/>
      <c r="AY18" s="408"/>
      <c r="AZ18" s="408"/>
      <c r="BA18" s="408"/>
      <c r="BB18" s="408"/>
      <c r="BC18" s="408"/>
      <c r="BD18" s="408"/>
      <c r="BE18" s="408"/>
      <c r="BF18" s="408"/>
      <c r="BG18" s="408"/>
      <c r="BH18" s="408"/>
      <c r="BI18" s="408"/>
      <c r="BJ18" s="408"/>
      <c r="BK18" s="408"/>
      <c r="BL18" s="408"/>
      <c r="BM18" s="408"/>
      <c r="BN18" s="408"/>
      <c r="BO18" s="408"/>
      <c r="BP18" s="408"/>
      <c r="BQ18" s="408"/>
      <c r="BR18" s="408"/>
      <c r="BS18" s="408"/>
      <c r="BT18" s="408"/>
      <c r="BU18" s="408"/>
      <c r="BV18" s="408"/>
      <c r="BW18" s="408"/>
      <c r="BX18" s="408"/>
      <c r="BY18" s="408"/>
      <c r="BZ18" s="408"/>
      <c r="CA18" s="408"/>
      <c r="CB18" s="408"/>
      <c r="CC18" s="408"/>
      <c r="CD18" s="408"/>
      <c r="CE18" s="408"/>
      <c r="CF18" s="408"/>
      <c r="CG18" s="408"/>
      <c r="CH18" s="408"/>
      <c r="CI18" s="408"/>
      <c r="CJ18" s="408"/>
      <c r="CK18" s="408"/>
      <c r="CL18" s="408"/>
      <c r="CM18" s="408"/>
      <c r="CN18" s="408"/>
      <c r="CO18" s="408"/>
      <c r="CP18" s="408"/>
      <c r="CQ18" s="408"/>
      <c r="CR18" s="408"/>
      <c r="CS18" s="408"/>
      <c r="CT18" s="408"/>
      <c r="CU18" s="408"/>
      <c r="CV18" s="408"/>
      <c r="CW18" s="408"/>
      <c r="CX18" s="408"/>
      <c r="CY18" s="408"/>
      <c r="CZ18" s="408"/>
      <c r="DA18" s="408"/>
      <c r="DB18" s="408"/>
      <c r="DC18" s="408"/>
      <c r="DD18" s="408"/>
      <c r="DE18" s="408"/>
      <c r="DF18" s="408"/>
      <c r="DG18" s="408"/>
      <c r="DH18" s="408"/>
      <c r="DI18" s="408"/>
      <c r="DJ18" s="408"/>
      <c r="DK18" s="408"/>
      <c r="DL18" s="408"/>
      <c r="DM18" s="408"/>
      <c r="DN18" s="408"/>
      <c r="DO18" s="408"/>
      <c r="DP18" s="408"/>
      <c r="DQ18" s="408"/>
      <c r="DR18" s="408"/>
      <c r="DS18" s="408"/>
      <c r="DT18" s="408"/>
      <c r="DU18" s="408"/>
      <c r="DV18" s="408"/>
      <c r="DW18" s="408"/>
      <c r="DX18" s="408"/>
      <c r="DY18" s="408"/>
      <c r="DZ18" s="408"/>
      <c r="EA18" s="408"/>
      <c r="EB18" s="408"/>
      <c r="EC18" s="408"/>
      <c r="ED18" s="408"/>
      <c r="EE18" s="408"/>
      <c r="EF18" s="408"/>
      <c r="EG18" s="408"/>
      <c r="EH18" s="408"/>
      <c r="EI18" s="408"/>
      <c r="EJ18" s="408"/>
      <c r="EK18" s="408"/>
      <c r="EL18" s="408"/>
      <c r="EM18" s="451"/>
      <c r="EN18" s="408"/>
      <c r="EO18" s="408"/>
      <c r="EP18" s="408"/>
      <c r="FG18" s="409"/>
      <c r="FH18" s="409"/>
      <c r="FI18" s="409"/>
      <c r="FJ18" s="409"/>
      <c r="FK18" s="409"/>
      <c r="FL18" s="409"/>
      <c r="FM18" s="409"/>
    </row>
    <row r="19" spans="1:169" ht="15" hidden="1" customHeight="1">
      <c r="A19" s="410" t="s">
        <v>1299</v>
      </c>
      <c r="B19" s="459"/>
      <c r="C19" s="407"/>
      <c r="D19" s="407"/>
      <c r="E19" s="407"/>
      <c r="F19" s="407"/>
      <c r="G19" s="407"/>
      <c r="H19" s="407"/>
      <c r="I19" s="407"/>
      <c r="J19" s="407"/>
      <c r="K19" s="407"/>
      <c r="L19" s="407"/>
      <c r="M19" s="408"/>
      <c r="N19" s="408"/>
      <c r="O19" s="408"/>
      <c r="P19" s="408"/>
      <c r="Q19" s="408"/>
      <c r="R19" s="408"/>
      <c r="S19" s="408"/>
      <c r="T19" s="408"/>
      <c r="U19" s="408"/>
      <c r="V19" s="408"/>
      <c r="W19" s="408"/>
      <c r="X19" s="408"/>
      <c r="Y19" s="408"/>
      <c r="Z19" s="408"/>
      <c r="AA19" s="408"/>
      <c r="AB19" s="408"/>
      <c r="AC19" s="408"/>
      <c r="AD19" s="408"/>
      <c r="AE19" s="408"/>
      <c r="AF19" s="408"/>
      <c r="AG19" s="408"/>
      <c r="AH19" s="408"/>
      <c r="AI19" s="408"/>
      <c r="AJ19" s="408"/>
      <c r="AK19" s="408"/>
      <c r="AL19" s="408"/>
      <c r="AM19" s="408"/>
      <c r="AN19" s="408"/>
      <c r="AO19" s="408"/>
      <c r="AP19" s="408"/>
      <c r="AQ19" s="408"/>
      <c r="AR19" s="408"/>
      <c r="AS19" s="408"/>
      <c r="AT19" s="408"/>
      <c r="AU19" s="408"/>
      <c r="AV19" s="408"/>
      <c r="AW19" s="408"/>
      <c r="AX19" s="408"/>
      <c r="AY19" s="408"/>
      <c r="AZ19" s="408"/>
      <c r="BA19" s="408"/>
      <c r="BB19" s="408"/>
      <c r="BC19" s="408"/>
      <c r="BD19" s="408"/>
      <c r="BE19" s="408"/>
      <c r="BF19" s="408"/>
      <c r="BG19" s="408"/>
      <c r="BH19" s="408"/>
      <c r="BI19" s="408"/>
      <c r="BJ19" s="408"/>
      <c r="BK19" s="408"/>
      <c r="BL19" s="408"/>
      <c r="BM19" s="408"/>
      <c r="BN19" s="408"/>
      <c r="BO19" s="408"/>
      <c r="BP19" s="408"/>
      <c r="BQ19" s="408"/>
      <c r="BR19" s="408"/>
      <c r="BS19" s="408"/>
      <c r="BT19" s="408"/>
      <c r="BU19" s="408"/>
      <c r="BV19" s="408"/>
      <c r="BW19" s="408"/>
      <c r="BX19" s="408"/>
      <c r="BY19" s="408"/>
      <c r="BZ19" s="408"/>
      <c r="CA19" s="408"/>
      <c r="CB19" s="408"/>
      <c r="CC19" s="408"/>
      <c r="CD19" s="408"/>
      <c r="CE19" s="408"/>
      <c r="CF19" s="408"/>
      <c r="CG19" s="408"/>
      <c r="CH19" s="408"/>
      <c r="CI19" s="408"/>
      <c r="CJ19" s="408"/>
      <c r="CK19" s="408"/>
      <c r="CL19" s="408"/>
      <c r="CM19" s="408"/>
      <c r="CN19" s="408"/>
      <c r="CO19" s="408"/>
      <c r="CP19" s="408"/>
      <c r="CQ19" s="408"/>
      <c r="CR19" s="408"/>
      <c r="CS19" s="408"/>
      <c r="CT19" s="408"/>
      <c r="CU19" s="408"/>
      <c r="CV19" s="408"/>
      <c r="CW19" s="408"/>
      <c r="CX19" s="408"/>
      <c r="CY19" s="408"/>
      <c r="CZ19" s="408"/>
      <c r="DA19" s="408"/>
      <c r="DB19" s="408"/>
      <c r="DC19" s="408"/>
      <c r="DD19" s="408"/>
      <c r="DE19" s="408"/>
      <c r="DF19" s="408"/>
      <c r="DG19" s="408"/>
      <c r="DH19" s="408"/>
      <c r="DI19" s="408"/>
      <c r="DJ19" s="408"/>
      <c r="DK19" s="408"/>
      <c r="DL19" s="408"/>
      <c r="DM19" s="408"/>
      <c r="DN19" s="408"/>
      <c r="DO19" s="408"/>
      <c r="DP19" s="408"/>
      <c r="DQ19" s="408"/>
      <c r="DR19" s="408"/>
      <c r="DS19" s="408"/>
      <c r="DT19" s="408"/>
      <c r="DU19" s="408"/>
      <c r="DV19" s="408"/>
      <c r="DW19" s="408"/>
      <c r="DX19" s="408"/>
      <c r="DY19" s="408"/>
      <c r="DZ19" s="408"/>
      <c r="EA19" s="408"/>
      <c r="EB19" s="408"/>
      <c r="EC19" s="408"/>
      <c r="ED19" s="408"/>
      <c r="EE19" s="408"/>
      <c r="EF19" s="408"/>
      <c r="EG19" s="408"/>
      <c r="EH19" s="408"/>
      <c r="EI19" s="408"/>
      <c r="EJ19" s="408"/>
      <c r="EK19" s="408"/>
      <c r="EL19" s="408"/>
      <c r="EM19" s="451"/>
      <c r="EN19" s="408"/>
      <c r="EO19" s="408"/>
      <c r="EP19" s="408"/>
      <c r="FG19" s="409"/>
      <c r="FH19" s="409"/>
      <c r="FI19" s="409"/>
      <c r="FJ19" s="409"/>
      <c r="FK19" s="409"/>
      <c r="FL19" s="409"/>
      <c r="FM19" s="409"/>
    </row>
    <row r="20" spans="1:169" ht="15" hidden="1" customHeight="1">
      <c r="A20" s="410"/>
      <c r="B20" s="459" t="s">
        <v>672</v>
      </c>
      <c r="C20" s="407"/>
      <c r="D20" s="407"/>
      <c r="E20" s="407"/>
      <c r="F20" s="407"/>
      <c r="G20" s="407"/>
      <c r="H20" s="407"/>
      <c r="I20" s="407"/>
      <c r="J20" s="407"/>
      <c r="K20" s="407"/>
      <c r="L20" s="407"/>
      <c r="M20" s="408"/>
      <c r="N20" s="408"/>
      <c r="O20" s="408"/>
      <c r="P20" s="408"/>
      <c r="Q20" s="408"/>
      <c r="R20" s="408"/>
      <c r="S20" s="408"/>
      <c r="T20" s="408"/>
      <c r="U20" s="408"/>
      <c r="V20" s="408"/>
      <c r="W20" s="408"/>
      <c r="X20" s="408"/>
      <c r="Y20" s="408"/>
      <c r="Z20" s="408"/>
      <c r="AA20" s="408"/>
      <c r="AB20" s="408"/>
      <c r="AC20" s="408"/>
      <c r="AD20" s="408"/>
      <c r="AE20" s="408"/>
      <c r="AF20" s="408"/>
      <c r="AG20" s="408"/>
      <c r="AH20" s="408"/>
      <c r="AI20" s="408"/>
      <c r="AJ20" s="408"/>
      <c r="AK20" s="408"/>
      <c r="AL20" s="408"/>
      <c r="AM20" s="408"/>
      <c r="AN20" s="408"/>
      <c r="AO20" s="408"/>
      <c r="AP20" s="408"/>
      <c r="AQ20" s="408"/>
      <c r="AR20" s="408"/>
      <c r="AS20" s="408"/>
      <c r="AT20" s="408"/>
      <c r="AU20" s="408"/>
      <c r="AV20" s="408"/>
      <c r="AW20" s="408"/>
      <c r="AX20" s="408"/>
      <c r="AY20" s="408"/>
      <c r="AZ20" s="408"/>
      <c r="BA20" s="408"/>
      <c r="BB20" s="408"/>
      <c r="BC20" s="408"/>
      <c r="BD20" s="408"/>
      <c r="BE20" s="408"/>
      <c r="BF20" s="408"/>
      <c r="BG20" s="408"/>
      <c r="BH20" s="408"/>
      <c r="BI20" s="408"/>
      <c r="BJ20" s="408"/>
      <c r="BK20" s="408"/>
      <c r="BL20" s="408"/>
      <c r="BM20" s="408"/>
      <c r="BN20" s="408"/>
      <c r="BO20" s="408"/>
      <c r="BP20" s="408"/>
      <c r="BQ20" s="408"/>
      <c r="BR20" s="408"/>
      <c r="BS20" s="408"/>
      <c r="BT20" s="408"/>
      <c r="BU20" s="408"/>
      <c r="BV20" s="408"/>
      <c r="BW20" s="408"/>
      <c r="BX20" s="408"/>
      <c r="BY20" s="408"/>
      <c r="BZ20" s="408"/>
      <c r="CA20" s="408"/>
      <c r="CB20" s="408"/>
      <c r="CC20" s="408"/>
      <c r="CD20" s="408"/>
      <c r="CE20" s="408"/>
      <c r="CF20" s="408"/>
      <c r="CG20" s="408"/>
      <c r="CH20" s="408"/>
      <c r="CI20" s="408"/>
      <c r="CJ20" s="408"/>
      <c r="CK20" s="408"/>
      <c r="CL20" s="408"/>
      <c r="CM20" s="408"/>
      <c r="CN20" s="408"/>
      <c r="CO20" s="408"/>
      <c r="CP20" s="408"/>
      <c r="CQ20" s="408"/>
      <c r="CR20" s="408"/>
      <c r="CS20" s="408"/>
      <c r="CT20" s="408"/>
      <c r="CU20" s="408"/>
      <c r="CV20" s="408"/>
      <c r="CW20" s="408"/>
      <c r="CX20" s="408"/>
      <c r="CY20" s="408"/>
      <c r="CZ20" s="408"/>
      <c r="DA20" s="408"/>
      <c r="DB20" s="408"/>
      <c r="DC20" s="408"/>
      <c r="DD20" s="408"/>
      <c r="DE20" s="408"/>
      <c r="DF20" s="408"/>
      <c r="DG20" s="408"/>
      <c r="DH20" s="408"/>
      <c r="DI20" s="408"/>
      <c r="DJ20" s="408"/>
      <c r="DK20" s="408"/>
      <c r="DL20" s="408"/>
      <c r="DM20" s="408"/>
      <c r="DN20" s="408"/>
      <c r="DO20" s="408"/>
      <c r="DP20" s="408"/>
      <c r="DQ20" s="408"/>
      <c r="DR20" s="408"/>
      <c r="DS20" s="408"/>
      <c r="DT20" s="408"/>
      <c r="DU20" s="408"/>
      <c r="DV20" s="408"/>
      <c r="DW20" s="408"/>
      <c r="DX20" s="408"/>
      <c r="DY20" s="408"/>
      <c r="DZ20" s="408"/>
      <c r="EA20" s="408"/>
      <c r="EB20" s="408"/>
      <c r="EC20" s="408"/>
      <c r="ED20" s="408"/>
      <c r="EE20" s="408"/>
      <c r="EF20" s="408"/>
      <c r="EG20" s="408"/>
      <c r="EH20" s="408"/>
      <c r="EI20" s="408"/>
      <c r="EJ20" s="408"/>
      <c r="EK20" s="408"/>
      <c r="EL20" s="408"/>
      <c r="EM20" s="451"/>
      <c r="EN20" s="408"/>
      <c r="EO20" s="408"/>
      <c r="EP20" s="408"/>
      <c r="FG20" s="409"/>
      <c r="FH20" s="409"/>
      <c r="FI20" s="409"/>
      <c r="FJ20" s="409"/>
      <c r="FK20" s="409"/>
      <c r="FL20" s="409"/>
      <c r="FM20" s="409"/>
    </row>
    <row r="21" spans="1:169" ht="15" hidden="1" customHeight="1">
      <c r="A21" s="410"/>
      <c r="B21" s="57" t="s">
        <v>153</v>
      </c>
      <c r="C21" s="407"/>
      <c r="D21" s="407"/>
      <c r="E21" s="407"/>
      <c r="F21" s="407"/>
      <c r="G21" s="407"/>
      <c r="H21" s="407"/>
      <c r="I21" s="407"/>
      <c r="J21" s="407"/>
      <c r="K21" s="407"/>
      <c r="L21" s="407"/>
      <c r="M21" s="408"/>
      <c r="N21" s="408"/>
      <c r="O21" s="408"/>
      <c r="P21" s="408"/>
      <c r="Q21" s="408"/>
      <c r="R21" s="408"/>
      <c r="S21" s="408"/>
      <c r="T21" s="408"/>
      <c r="U21" s="408"/>
      <c r="V21" s="408"/>
      <c r="W21" s="408"/>
      <c r="X21" s="408"/>
      <c r="Y21" s="408"/>
      <c r="Z21" s="408"/>
      <c r="AA21" s="408"/>
      <c r="AB21" s="408"/>
      <c r="AC21" s="408"/>
      <c r="AD21" s="408"/>
      <c r="AE21" s="408"/>
      <c r="AF21" s="408"/>
      <c r="AG21" s="408"/>
      <c r="AH21" s="408"/>
      <c r="AI21" s="408"/>
      <c r="AJ21" s="408"/>
      <c r="AK21" s="408"/>
      <c r="AL21" s="408"/>
      <c r="AM21" s="408"/>
      <c r="AN21" s="408"/>
      <c r="AO21" s="408"/>
      <c r="AP21" s="408"/>
      <c r="AQ21" s="408"/>
      <c r="AR21" s="408"/>
      <c r="AS21" s="408"/>
      <c r="AT21" s="408"/>
      <c r="AU21" s="408"/>
      <c r="AV21" s="408"/>
      <c r="AW21" s="408"/>
      <c r="AX21" s="408"/>
      <c r="AY21" s="408"/>
      <c r="AZ21" s="408"/>
      <c r="BA21" s="408"/>
      <c r="BB21" s="408"/>
      <c r="BC21" s="408"/>
      <c r="BD21" s="408"/>
      <c r="BE21" s="408"/>
      <c r="BF21" s="408"/>
      <c r="BG21" s="408"/>
      <c r="BH21" s="408"/>
      <c r="BI21" s="408"/>
      <c r="BJ21" s="408"/>
      <c r="BK21" s="408"/>
      <c r="BL21" s="408"/>
      <c r="BM21" s="408"/>
      <c r="BN21" s="408"/>
      <c r="BO21" s="408"/>
      <c r="BP21" s="408"/>
      <c r="BQ21" s="408"/>
      <c r="BR21" s="408"/>
      <c r="BS21" s="408"/>
      <c r="BT21" s="408"/>
      <c r="BU21" s="408"/>
      <c r="BV21" s="408"/>
      <c r="BW21" s="408"/>
      <c r="BX21" s="408"/>
      <c r="BY21" s="408"/>
      <c r="BZ21" s="408"/>
      <c r="CA21" s="408"/>
      <c r="CB21" s="408"/>
      <c r="CC21" s="408"/>
      <c r="CD21" s="408"/>
      <c r="CE21" s="408"/>
      <c r="CF21" s="408"/>
      <c r="CG21" s="408"/>
      <c r="CH21" s="408"/>
      <c r="CI21" s="408"/>
      <c r="CJ21" s="408"/>
      <c r="CK21" s="408"/>
      <c r="CL21" s="408"/>
      <c r="CM21" s="408"/>
      <c r="CN21" s="408"/>
      <c r="CO21" s="408"/>
      <c r="CP21" s="408"/>
      <c r="CQ21" s="408"/>
      <c r="CR21" s="408"/>
      <c r="CS21" s="408"/>
      <c r="CT21" s="408"/>
      <c r="CU21" s="408"/>
      <c r="CV21" s="408"/>
      <c r="CW21" s="408"/>
      <c r="CX21" s="408"/>
      <c r="CY21" s="408"/>
      <c r="CZ21" s="408"/>
      <c r="DA21" s="408"/>
      <c r="DB21" s="408"/>
      <c r="DC21" s="408"/>
      <c r="DD21" s="408"/>
      <c r="DE21" s="408"/>
      <c r="DF21" s="408"/>
      <c r="DG21" s="408"/>
      <c r="DH21" s="408"/>
      <c r="DI21" s="408"/>
      <c r="DJ21" s="408"/>
      <c r="DK21" s="408"/>
      <c r="DL21" s="408"/>
      <c r="DM21" s="408"/>
      <c r="DN21" s="408"/>
      <c r="DO21" s="408"/>
      <c r="DP21" s="408"/>
      <c r="DQ21" s="408"/>
      <c r="DR21" s="408"/>
      <c r="DS21" s="408"/>
      <c r="DT21" s="408"/>
      <c r="DU21" s="408"/>
      <c r="DV21" s="408"/>
      <c r="DW21" s="408"/>
      <c r="DX21" s="408"/>
      <c r="DY21" s="408"/>
      <c r="DZ21" s="408"/>
      <c r="EA21" s="408"/>
      <c r="EB21" s="408"/>
      <c r="EC21" s="408"/>
      <c r="ED21" s="408"/>
      <c r="EE21" s="408"/>
      <c r="EF21" s="408"/>
      <c r="EG21" s="408"/>
      <c r="EH21" s="408"/>
      <c r="EI21" s="408"/>
      <c r="EJ21" s="408"/>
      <c r="EK21" s="408"/>
      <c r="EL21" s="408"/>
      <c r="EM21" s="451"/>
      <c r="EN21" s="408"/>
      <c r="EO21" s="408"/>
      <c r="EP21" s="408"/>
      <c r="FG21" s="409"/>
      <c r="FH21" s="409"/>
      <c r="FI21" s="409"/>
      <c r="FJ21" s="409"/>
      <c r="FK21" s="409"/>
      <c r="FL21" s="409"/>
      <c r="FM21" s="409"/>
    </row>
    <row r="22" spans="1:169" ht="15" hidden="1" customHeight="1">
      <c r="A22" s="410"/>
      <c r="B22" s="406"/>
      <c r="C22" s="407"/>
      <c r="D22" s="407"/>
      <c r="E22" s="407"/>
      <c r="F22" s="407"/>
      <c r="G22" s="407"/>
      <c r="H22" s="407"/>
      <c r="I22" s="407"/>
      <c r="J22" s="407"/>
      <c r="K22" s="407"/>
      <c r="L22" s="407"/>
      <c r="M22" s="408"/>
      <c r="N22" s="408"/>
      <c r="O22" s="408"/>
      <c r="P22" s="408"/>
      <c r="Q22" s="408"/>
      <c r="R22" s="408"/>
      <c r="S22" s="408"/>
      <c r="T22" s="408"/>
      <c r="U22" s="408"/>
      <c r="V22" s="408"/>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8"/>
      <c r="BE22" s="408"/>
      <c r="BF22" s="408"/>
      <c r="BG22" s="408"/>
      <c r="BH22" s="408"/>
      <c r="BI22" s="408"/>
      <c r="BJ22" s="408"/>
      <c r="BK22" s="408"/>
      <c r="BL22" s="408"/>
      <c r="BM22" s="408"/>
      <c r="BN22" s="408"/>
      <c r="BO22" s="408"/>
      <c r="BP22" s="408"/>
      <c r="BQ22" s="408"/>
      <c r="BR22" s="408"/>
      <c r="BS22" s="408"/>
      <c r="BT22" s="408"/>
      <c r="BU22" s="408"/>
      <c r="BV22" s="408"/>
      <c r="BW22" s="408"/>
      <c r="BX22" s="408"/>
      <c r="BY22" s="408"/>
      <c r="BZ22" s="408"/>
      <c r="CA22" s="408"/>
      <c r="CB22" s="408"/>
      <c r="CC22" s="408"/>
      <c r="CD22" s="408"/>
      <c r="CE22" s="408"/>
      <c r="CF22" s="408"/>
      <c r="CG22" s="408"/>
      <c r="CH22" s="408"/>
      <c r="CI22" s="408"/>
      <c r="CJ22" s="408"/>
      <c r="CK22" s="408"/>
      <c r="CL22" s="408"/>
      <c r="CM22" s="408"/>
      <c r="CN22" s="408"/>
      <c r="CO22" s="408"/>
      <c r="CP22" s="408"/>
      <c r="CQ22" s="408"/>
      <c r="CR22" s="408"/>
      <c r="CS22" s="408"/>
      <c r="CT22" s="408"/>
      <c r="CU22" s="408"/>
      <c r="CV22" s="408"/>
      <c r="CW22" s="408"/>
      <c r="CX22" s="408"/>
      <c r="CY22" s="408"/>
      <c r="CZ22" s="408"/>
      <c r="DA22" s="408"/>
      <c r="DB22" s="408"/>
      <c r="DC22" s="408"/>
      <c r="DD22" s="408"/>
      <c r="DE22" s="408"/>
      <c r="DF22" s="408"/>
      <c r="DG22" s="408"/>
      <c r="DH22" s="408"/>
      <c r="DI22" s="408"/>
      <c r="DJ22" s="408"/>
      <c r="DK22" s="408"/>
      <c r="DL22" s="408"/>
      <c r="DM22" s="408"/>
      <c r="DN22" s="408"/>
      <c r="DO22" s="408"/>
      <c r="DP22" s="408"/>
      <c r="DQ22" s="408"/>
      <c r="DR22" s="408"/>
      <c r="DS22" s="408"/>
      <c r="DT22" s="408"/>
      <c r="DU22" s="408"/>
      <c r="DV22" s="408"/>
      <c r="DW22" s="408"/>
      <c r="DX22" s="408"/>
      <c r="DY22" s="408"/>
      <c r="DZ22" s="408"/>
      <c r="EA22" s="408"/>
      <c r="EB22" s="408"/>
      <c r="EC22" s="408"/>
      <c r="ED22" s="408"/>
      <c r="EE22" s="408"/>
      <c r="EF22" s="408"/>
      <c r="EG22" s="408"/>
      <c r="EH22" s="408"/>
      <c r="EI22" s="408"/>
      <c r="EJ22" s="408"/>
      <c r="EK22" s="408"/>
      <c r="EL22" s="408"/>
      <c r="EM22" s="451"/>
      <c r="EN22" s="408"/>
      <c r="EO22" s="408"/>
      <c r="EP22" s="408"/>
      <c r="FG22" s="409"/>
      <c r="FH22" s="409"/>
      <c r="FI22" s="409"/>
      <c r="FJ22" s="409"/>
      <c r="FK22" s="409"/>
      <c r="FL22" s="409"/>
      <c r="FM22" s="409"/>
    </row>
    <row r="23" spans="1:169" ht="15" customHeight="1">
      <c r="A23" s="410">
        <v>3</v>
      </c>
      <c r="B23" s="181" t="s">
        <v>1301</v>
      </c>
      <c r="C23" s="407"/>
      <c r="D23" s="407"/>
      <c r="E23" s="407"/>
      <c r="F23" s="407"/>
      <c r="G23" s="407"/>
      <c r="H23" s="407"/>
      <c r="I23" s="407"/>
      <c r="J23" s="407"/>
      <c r="K23" s="407"/>
      <c r="L23" s="407"/>
      <c r="M23" s="408"/>
      <c r="N23" s="408"/>
      <c r="O23" s="408"/>
      <c r="P23" s="408"/>
      <c r="Q23" s="408"/>
      <c r="R23" s="408"/>
      <c r="S23" s="408"/>
      <c r="T23" s="408"/>
      <c r="U23" s="408"/>
      <c r="V23" s="408"/>
      <c r="W23" s="408"/>
      <c r="X23" s="408"/>
      <c r="Y23" s="408"/>
      <c r="Z23" s="408"/>
      <c r="AA23" s="408"/>
      <c r="AB23" s="408"/>
      <c r="AC23" s="408"/>
      <c r="AD23" s="408"/>
      <c r="AE23" s="408"/>
      <c r="AF23" s="408"/>
      <c r="AG23" s="408"/>
      <c r="AH23" s="408"/>
      <c r="AI23" s="408"/>
      <c r="AJ23" s="408"/>
      <c r="AK23" s="408"/>
      <c r="AL23" s="408"/>
      <c r="AM23" s="408"/>
      <c r="AN23" s="408"/>
      <c r="AO23" s="408"/>
      <c r="AP23" s="408"/>
      <c r="AQ23" s="408"/>
      <c r="AR23" s="408"/>
      <c r="AS23" s="408"/>
      <c r="AT23" s="408"/>
      <c r="AU23" s="408"/>
      <c r="AV23" s="408"/>
      <c r="AW23" s="408"/>
      <c r="AX23" s="408"/>
      <c r="AY23" s="408"/>
      <c r="AZ23" s="408"/>
      <c r="BA23" s="408"/>
      <c r="BB23" s="408"/>
      <c r="BC23" s="408"/>
      <c r="BD23" s="408"/>
      <c r="BE23" s="408"/>
      <c r="BF23" s="408"/>
      <c r="BG23" s="408"/>
      <c r="BH23" s="408"/>
      <c r="BI23" s="408"/>
      <c r="BJ23" s="408"/>
      <c r="BK23" s="408"/>
      <c r="BL23" s="408"/>
      <c r="BM23" s="408"/>
      <c r="BN23" s="408"/>
      <c r="BO23" s="408"/>
      <c r="BP23" s="408"/>
      <c r="BQ23" s="408"/>
      <c r="BR23" s="408"/>
      <c r="BS23" s="408"/>
      <c r="BT23" s="408"/>
      <c r="BU23" s="408"/>
      <c r="BV23" s="408"/>
      <c r="BW23" s="408"/>
      <c r="BX23" s="408"/>
      <c r="BY23" s="408"/>
      <c r="BZ23" s="408"/>
      <c r="CA23" s="408"/>
      <c r="CB23" s="408"/>
      <c r="CC23" s="408"/>
      <c r="CD23" s="408"/>
      <c r="CE23" s="408"/>
      <c r="CF23" s="408"/>
      <c r="CG23" s="408"/>
      <c r="CH23" s="408"/>
      <c r="CI23" s="408"/>
      <c r="CJ23" s="408"/>
      <c r="CK23" s="408"/>
      <c r="CL23" s="408"/>
      <c r="CM23" s="408"/>
      <c r="CN23" s="408"/>
      <c r="CO23" s="408"/>
      <c r="CP23" s="408"/>
      <c r="CQ23" s="408"/>
      <c r="CR23" s="408"/>
      <c r="CS23" s="408"/>
      <c r="CT23" s="408"/>
      <c r="CU23" s="408"/>
      <c r="CV23" s="408"/>
      <c r="CW23" s="408"/>
      <c r="CX23" s="408"/>
      <c r="CY23" s="408"/>
      <c r="CZ23" s="408"/>
      <c r="DA23" s="408"/>
      <c r="DB23" s="408"/>
      <c r="DC23" s="408"/>
      <c r="DD23" s="408"/>
      <c r="DE23" s="408"/>
      <c r="DF23" s="408"/>
      <c r="DG23" s="408"/>
      <c r="DH23" s="408"/>
      <c r="DI23" s="408"/>
      <c r="DJ23" s="408"/>
      <c r="DK23" s="408"/>
      <c r="DL23" s="408"/>
      <c r="DM23" s="408"/>
      <c r="DN23" s="408"/>
      <c r="DO23" s="408"/>
      <c r="DP23" s="408"/>
      <c r="DQ23" s="408"/>
      <c r="DR23" s="408"/>
      <c r="DS23" s="408"/>
      <c r="DT23" s="408"/>
      <c r="DU23" s="408"/>
      <c r="DV23" s="408"/>
      <c r="DW23" s="408"/>
      <c r="DX23" s="408"/>
      <c r="DY23" s="408"/>
      <c r="DZ23" s="408"/>
      <c r="EA23" s="408"/>
      <c r="EB23" s="408"/>
      <c r="EC23" s="408"/>
      <c r="ED23" s="408"/>
      <c r="EE23" s="408"/>
      <c r="EF23" s="408"/>
      <c r="EG23" s="408"/>
      <c r="EH23" s="408"/>
      <c r="EI23" s="408"/>
      <c r="EJ23" s="408"/>
      <c r="EK23" s="408"/>
      <c r="EL23" s="408"/>
      <c r="EM23" s="451"/>
      <c r="EN23" s="408"/>
      <c r="EO23" s="408"/>
      <c r="EP23" s="408"/>
      <c r="FG23" s="409"/>
      <c r="FH23" s="409"/>
      <c r="FI23" s="409"/>
      <c r="FJ23" s="409"/>
      <c r="FK23" s="409"/>
      <c r="FL23" s="409"/>
      <c r="FM23" s="409"/>
    </row>
    <row r="24" spans="1:169" ht="15" hidden="1" customHeight="1">
      <c r="A24" s="410" t="s">
        <v>82</v>
      </c>
      <c r="B24" s="459" t="s">
        <v>1302</v>
      </c>
      <c r="C24" s="407"/>
      <c r="D24" s="407"/>
      <c r="E24" s="407"/>
      <c r="F24" s="407"/>
      <c r="G24" s="407"/>
      <c r="H24" s="407"/>
      <c r="I24" s="407"/>
      <c r="J24" s="407"/>
      <c r="K24" s="407"/>
      <c r="L24" s="407"/>
      <c r="M24" s="408"/>
      <c r="N24" s="408"/>
      <c r="O24" s="408"/>
      <c r="P24" s="408"/>
      <c r="Q24" s="408"/>
      <c r="R24" s="408"/>
      <c r="S24" s="408"/>
      <c r="T24" s="408"/>
      <c r="U24" s="408"/>
      <c r="V24" s="408"/>
      <c r="W24" s="408"/>
      <c r="X24" s="408"/>
      <c r="Y24" s="408"/>
      <c r="Z24" s="408"/>
      <c r="AA24" s="408"/>
      <c r="AB24" s="408"/>
      <c r="AC24" s="408"/>
      <c r="AD24" s="408"/>
      <c r="AE24" s="408"/>
      <c r="AF24" s="408"/>
      <c r="AG24" s="408"/>
      <c r="AH24" s="408"/>
      <c r="AI24" s="408"/>
      <c r="AJ24" s="408"/>
      <c r="AK24" s="408"/>
      <c r="AL24" s="408"/>
      <c r="AM24" s="408"/>
      <c r="AN24" s="408"/>
      <c r="AO24" s="408"/>
      <c r="AP24" s="408"/>
      <c r="AQ24" s="408"/>
      <c r="AR24" s="408"/>
      <c r="AS24" s="408"/>
      <c r="AT24" s="408"/>
      <c r="AU24" s="408"/>
      <c r="AV24" s="408"/>
      <c r="AW24" s="408"/>
      <c r="AX24" s="408"/>
      <c r="AY24" s="408"/>
      <c r="AZ24" s="408"/>
      <c r="BA24" s="408"/>
      <c r="BB24" s="408"/>
      <c r="BC24" s="408"/>
      <c r="BD24" s="408"/>
      <c r="BE24" s="408"/>
      <c r="BF24" s="408"/>
      <c r="BG24" s="408"/>
      <c r="BH24" s="408"/>
      <c r="BI24" s="408"/>
      <c r="BJ24" s="408"/>
      <c r="BK24" s="408"/>
      <c r="BL24" s="408"/>
      <c r="BM24" s="408"/>
      <c r="BN24" s="408"/>
      <c r="BO24" s="408"/>
      <c r="BP24" s="408"/>
      <c r="BQ24" s="408"/>
      <c r="BR24" s="408"/>
      <c r="BS24" s="408"/>
      <c r="BT24" s="408"/>
      <c r="BU24" s="408"/>
      <c r="BV24" s="408"/>
      <c r="BW24" s="408"/>
      <c r="BX24" s="408"/>
      <c r="BY24" s="408"/>
      <c r="BZ24" s="408"/>
      <c r="CA24" s="408"/>
      <c r="CB24" s="408"/>
      <c r="CC24" s="408"/>
      <c r="CD24" s="408"/>
      <c r="CE24" s="408"/>
      <c r="CF24" s="408"/>
      <c r="CG24" s="408"/>
      <c r="CH24" s="408"/>
      <c r="CI24" s="408"/>
      <c r="CJ24" s="408"/>
      <c r="CK24" s="408"/>
      <c r="CL24" s="408"/>
      <c r="CM24" s="408"/>
      <c r="CN24" s="408"/>
      <c r="CO24" s="408"/>
      <c r="CP24" s="408"/>
      <c r="CQ24" s="408"/>
      <c r="CR24" s="408"/>
      <c r="CS24" s="408"/>
      <c r="CT24" s="408"/>
      <c r="CU24" s="408"/>
      <c r="CV24" s="408"/>
      <c r="CW24" s="408"/>
      <c r="CX24" s="408"/>
      <c r="CY24" s="408"/>
      <c r="CZ24" s="408"/>
      <c r="DA24" s="408"/>
      <c r="DB24" s="408"/>
      <c r="DC24" s="408"/>
      <c r="DD24" s="408"/>
      <c r="DE24" s="408"/>
      <c r="DF24" s="408"/>
      <c r="DG24" s="408"/>
      <c r="DH24" s="408"/>
      <c r="DI24" s="408"/>
      <c r="DJ24" s="408"/>
      <c r="DK24" s="408"/>
      <c r="DL24" s="408"/>
      <c r="DM24" s="408"/>
      <c r="DN24" s="408"/>
      <c r="DO24" s="408"/>
      <c r="DP24" s="408"/>
      <c r="DQ24" s="408"/>
      <c r="DR24" s="408"/>
      <c r="DS24" s="408"/>
      <c r="DT24" s="408"/>
      <c r="DU24" s="408"/>
      <c r="DV24" s="408"/>
      <c r="DW24" s="408"/>
      <c r="DX24" s="408"/>
      <c r="DY24" s="408"/>
      <c r="DZ24" s="408"/>
      <c r="EA24" s="408"/>
      <c r="EB24" s="408"/>
      <c r="EC24" s="408"/>
      <c r="ED24" s="408"/>
      <c r="EE24" s="408"/>
      <c r="EF24" s="408"/>
      <c r="EG24" s="408"/>
      <c r="EH24" s="408"/>
      <c r="EI24" s="408"/>
      <c r="EJ24" s="408"/>
      <c r="EK24" s="408"/>
      <c r="EL24" s="408"/>
      <c r="EM24" s="451"/>
      <c r="EN24" s="408"/>
      <c r="EO24" s="408"/>
      <c r="EP24" s="408"/>
      <c r="FG24" s="409"/>
      <c r="FH24" s="409"/>
      <c r="FI24" s="409"/>
      <c r="FJ24" s="409"/>
      <c r="FK24" s="409"/>
      <c r="FL24" s="409"/>
      <c r="FM24" s="409"/>
    </row>
    <row r="25" spans="1:169" ht="15" hidden="1" customHeight="1">
      <c r="A25" s="410" t="s">
        <v>83</v>
      </c>
      <c r="B25" s="459" t="s">
        <v>1303</v>
      </c>
      <c r="C25" s="407"/>
      <c r="D25" s="407"/>
      <c r="E25" s="407"/>
      <c r="F25" s="407"/>
      <c r="G25" s="407"/>
      <c r="H25" s="407"/>
      <c r="I25" s="407"/>
      <c r="J25" s="407"/>
      <c r="K25" s="407"/>
      <c r="L25" s="407"/>
      <c r="M25" s="408"/>
      <c r="N25" s="408"/>
      <c r="O25" s="408"/>
      <c r="P25" s="408"/>
      <c r="Q25" s="408"/>
      <c r="R25" s="408"/>
      <c r="S25" s="408"/>
      <c r="T25" s="408"/>
      <c r="U25" s="408"/>
      <c r="V25" s="408"/>
      <c r="W25" s="408"/>
      <c r="X25" s="408"/>
      <c r="Y25" s="408"/>
      <c r="Z25" s="408"/>
      <c r="AA25" s="408"/>
      <c r="AB25" s="408"/>
      <c r="AC25" s="408"/>
      <c r="AD25" s="408"/>
      <c r="AE25" s="408"/>
      <c r="AF25" s="408"/>
      <c r="AG25" s="408"/>
      <c r="AH25" s="408"/>
      <c r="AI25" s="408"/>
      <c r="AJ25" s="408"/>
      <c r="AK25" s="408"/>
      <c r="AL25" s="408"/>
      <c r="AM25" s="408"/>
      <c r="AN25" s="408"/>
      <c r="AO25" s="408"/>
      <c r="AP25" s="408"/>
      <c r="AQ25" s="408"/>
      <c r="AR25" s="408"/>
      <c r="AS25" s="408"/>
      <c r="AT25" s="408"/>
      <c r="AU25" s="408"/>
      <c r="AV25" s="408"/>
      <c r="AW25" s="408"/>
      <c r="AX25" s="408"/>
      <c r="AY25" s="408"/>
      <c r="AZ25" s="408"/>
      <c r="BA25" s="408"/>
      <c r="BB25" s="408"/>
      <c r="BC25" s="408"/>
      <c r="BD25" s="408"/>
      <c r="BE25" s="408"/>
      <c r="BF25" s="408"/>
      <c r="BG25" s="408"/>
      <c r="BH25" s="408"/>
      <c r="BI25" s="408"/>
      <c r="BJ25" s="408"/>
      <c r="BK25" s="408"/>
      <c r="BL25" s="408"/>
      <c r="BM25" s="408"/>
      <c r="BN25" s="408"/>
      <c r="BO25" s="408"/>
      <c r="BP25" s="408"/>
      <c r="BQ25" s="408"/>
      <c r="BR25" s="408"/>
      <c r="BS25" s="408"/>
      <c r="BT25" s="408"/>
      <c r="BU25" s="408"/>
      <c r="BV25" s="408"/>
      <c r="BW25" s="408"/>
      <c r="BX25" s="408"/>
      <c r="BY25" s="408"/>
      <c r="BZ25" s="408"/>
      <c r="CA25" s="408"/>
      <c r="CB25" s="408"/>
      <c r="CC25" s="408"/>
      <c r="CD25" s="408"/>
      <c r="CE25" s="408"/>
      <c r="CF25" s="408"/>
      <c r="CG25" s="408"/>
      <c r="CH25" s="408"/>
      <c r="CI25" s="408"/>
      <c r="CJ25" s="408"/>
      <c r="CK25" s="408"/>
      <c r="CL25" s="408"/>
      <c r="CM25" s="408"/>
      <c r="CN25" s="408"/>
      <c r="CO25" s="408"/>
      <c r="CP25" s="408"/>
      <c r="CQ25" s="408"/>
      <c r="CR25" s="408"/>
      <c r="CS25" s="408"/>
      <c r="CT25" s="408"/>
      <c r="CU25" s="408"/>
      <c r="CV25" s="408"/>
      <c r="CW25" s="408"/>
      <c r="CX25" s="408"/>
      <c r="CY25" s="408"/>
      <c r="CZ25" s="408"/>
      <c r="DA25" s="408"/>
      <c r="DB25" s="408"/>
      <c r="DC25" s="408"/>
      <c r="DD25" s="408"/>
      <c r="DE25" s="408"/>
      <c r="DF25" s="408"/>
      <c r="DG25" s="408"/>
      <c r="DH25" s="408"/>
      <c r="DI25" s="408"/>
      <c r="DJ25" s="408"/>
      <c r="DK25" s="408"/>
      <c r="DL25" s="408"/>
      <c r="DM25" s="408"/>
      <c r="DN25" s="408"/>
      <c r="DO25" s="408"/>
      <c r="DP25" s="408"/>
      <c r="DQ25" s="408"/>
      <c r="DR25" s="408"/>
      <c r="DS25" s="408"/>
      <c r="DT25" s="408"/>
      <c r="DU25" s="408"/>
      <c r="DV25" s="408"/>
      <c r="DW25" s="408"/>
      <c r="DX25" s="408"/>
      <c r="DY25" s="408"/>
      <c r="DZ25" s="408"/>
      <c r="EA25" s="408"/>
      <c r="EB25" s="408"/>
      <c r="EC25" s="408"/>
      <c r="ED25" s="408"/>
      <c r="EE25" s="408"/>
      <c r="EF25" s="408"/>
      <c r="EG25" s="408"/>
      <c r="EH25" s="408"/>
      <c r="EI25" s="408"/>
      <c r="EJ25" s="408"/>
      <c r="EK25" s="408"/>
      <c r="EL25" s="408"/>
      <c r="EM25" s="451"/>
      <c r="EN25" s="408"/>
      <c r="EO25" s="408"/>
      <c r="EP25" s="408"/>
      <c r="FG25" s="409"/>
      <c r="FH25" s="409"/>
      <c r="FI25" s="409"/>
      <c r="FJ25" s="409"/>
      <c r="FK25" s="409"/>
      <c r="FL25" s="409"/>
      <c r="FM25" s="409"/>
    </row>
    <row r="26" spans="1:169" ht="15" hidden="1" customHeight="1">
      <c r="A26" s="410" t="s">
        <v>86</v>
      </c>
      <c r="B26" s="459" t="s">
        <v>1304</v>
      </c>
      <c r="C26" s="407"/>
      <c r="D26" s="407"/>
      <c r="E26" s="407"/>
      <c r="F26" s="407"/>
      <c r="G26" s="407"/>
      <c r="H26" s="407"/>
      <c r="I26" s="407"/>
      <c r="J26" s="407"/>
      <c r="K26" s="407"/>
      <c r="L26" s="407"/>
      <c r="M26" s="408"/>
      <c r="N26" s="408"/>
      <c r="O26" s="408"/>
      <c r="P26" s="408"/>
      <c r="Q26" s="408"/>
      <c r="R26" s="408"/>
      <c r="S26" s="408"/>
      <c r="T26" s="408"/>
      <c r="U26" s="408"/>
      <c r="V26" s="408"/>
      <c r="W26" s="408"/>
      <c r="X26" s="408"/>
      <c r="Y26" s="408"/>
      <c r="Z26" s="408"/>
      <c r="AA26" s="408"/>
      <c r="AB26" s="408"/>
      <c r="AC26" s="408"/>
      <c r="AD26" s="408"/>
      <c r="AE26" s="408"/>
      <c r="AF26" s="408"/>
      <c r="AG26" s="408"/>
      <c r="AH26" s="408"/>
      <c r="AI26" s="408"/>
      <c r="AJ26" s="408"/>
      <c r="AK26" s="408"/>
      <c r="AL26" s="408"/>
      <c r="AM26" s="408"/>
      <c r="AN26" s="408"/>
      <c r="AO26" s="408"/>
      <c r="AP26" s="408"/>
      <c r="AQ26" s="408"/>
      <c r="AR26" s="408"/>
      <c r="AS26" s="408"/>
      <c r="AT26" s="408"/>
      <c r="AU26" s="408"/>
      <c r="AV26" s="408"/>
      <c r="AW26" s="408"/>
      <c r="AX26" s="408"/>
      <c r="AY26" s="408"/>
      <c r="AZ26" s="408"/>
      <c r="BA26" s="408"/>
      <c r="BB26" s="408"/>
      <c r="BC26" s="408"/>
      <c r="BD26" s="408"/>
      <c r="BE26" s="408"/>
      <c r="BF26" s="408"/>
      <c r="BG26" s="408"/>
      <c r="BH26" s="408"/>
      <c r="BI26" s="408"/>
      <c r="BJ26" s="408"/>
      <c r="BK26" s="408"/>
      <c r="BL26" s="408"/>
      <c r="BM26" s="408"/>
      <c r="BN26" s="408"/>
      <c r="BO26" s="408"/>
      <c r="BP26" s="408"/>
      <c r="BQ26" s="408"/>
      <c r="BR26" s="408"/>
      <c r="BS26" s="408"/>
      <c r="BT26" s="408"/>
      <c r="BU26" s="408"/>
      <c r="BV26" s="408"/>
      <c r="BW26" s="408"/>
      <c r="BX26" s="408"/>
      <c r="BY26" s="408"/>
      <c r="BZ26" s="408"/>
      <c r="CA26" s="408"/>
      <c r="CB26" s="408"/>
      <c r="CC26" s="408"/>
      <c r="CD26" s="408"/>
      <c r="CE26" s="408"/>
      <c r="CF26" s="408"/>
      <c r="CG26" s="408"/>
      <c r="CH26" s="408"/>
      <c r="CI26" s="408"/>
      <c r="CJ26" s="408"/>
      <c r="CK26" s="408"/>
      <c r="CL26" s="408"/>
      <c r="CM26" s="408"/>
      <c r="CN26" s="408"/>
      <c r="CO26" s="408"/>
      <c r="CP26" s="408"/>
      <c r="CQ26" s="408"/>
      <c r="CR26" s="408"/>
      <c r="CS26" s="408"/>
      <c r="CT26" s="408"/>
      <c r="CU26" s="408"/>
      <c r="CV26" s="408"/>
      <c r="CW26" s="408"/>
      <c r="CX26" s="408"/>
      <c r="CY26" s="408"/>
      <c r="CZ26" s="408"/>
      <c r="DA26" s="408"/>
      <c r="DB26" s="408"/>
      <c r="DC26" s="408"/>
      <c r="DD26" s="408"/>
      <c r="DE26" s="408"/>
      <c r="DF26" s="408"/>
      <c r="DG26" s="408"/>
      <c r="DH26" s="408"/>
      <c r="DI26" s="408"/>
      <c r="DJ26" s="408"/>
      <c r="DK26" s="408"/>
      <c r="DL26" s="408"/>
      <c r="DM26" s="408"/>
      <c r="DN26" s="408"/>
      <c r="DO26" s="408"/>
      <c r="DP26" s="408"/>
      <c r="DQ26" s="408"/>
      <c r="DR26" s="408"/>
      <c r="DS26" s="408"/>
      <c r="DT26" s="408"/>
      <c r="DU26" s="408"/>
      <c r="DV26" s="408"/>
      <c r="DW26" s="408"/>
      <c r="DX26" s="408"/>
      <c r="DY26" s="408"/>
      <c r="DZ26" s="408"/>
      <c r="EA26" s="408"/>
      <c r="EB26" s="408"/>
      <c r="EC26" s="408"/>
      <c r="ED26" s="408"/>
      <c r="EE26" s="408"/>
      <c r="EF26" s="408"/>
      <c r="EG26" s="408"/>
      <c r="EH26" s="408"/>
      <c r="EI26" s="408"/>
      <c r="EJ26" s="408"/>
      <c r="EK26" s="408"/>
      <c r="EL26" s="408"/>
      <c r="EM26" s="451"/>
      <c r="EN26" s="408"/>
      <c r="EO26" s="408"/>
      <c r="EP26" s="408"/>
      <c r="FG26" s="409"/>
      <c r="FH26" s="409"/>
      <c r="FI26" s="409"/>
      <c r="FJ26" s="409"/>
      <c r="FK26" s="409"/>
      <c r="FL26" s="409"/>
      <c r="FM26" s="409"/>
    </row>
    <row r="27" spans="1:169" ht="15" hidden="1" customHeight="1">
      <c r="A27" s="410" t="s">
        <v>217</v>
      </c>
      <c r="B27" s="459" t="s">
        <v>1305</v>
      </c>
      <c r="C27" s="407"/>
      <c r="D27" s="407"/>
      <c r="E27" s="407"/>
      <c r="F27" s="407"/>
      <c r="G27" s="407"/>
      <c r="H27" s="407"/>
      <c r="I27" s="407"/>
      <c r="J27" s="407"/>
      <c r="K27" s="407"/>
      <c r="L27" s="407"/>
      <c r="M27" s="408"/>
      <c r="N27" s="408"/>
      <c r="O27" s="408"/>
      <c r="P27" s="408"/>
      <c r="Q27" s="408"/>
      <c r="R27" s="408"/>
      <c r="S27" s="408"/>
      <c r="T27" s="408"/>
      <c r="U27" s="408"/>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c r="BB27" s="408"/>
      <c r="BC27" s="408"/>
      <c r="BD27" s="408"/>
      <c r="BE27" s="408"/>
      <c r="BF27" s="408"/>
      <c r="BG27" s="408"/>
      <c r="BH27" s="408"/>
      <c r="BI27" s="408"/>
      <c r="BJ27" s="408"/>
      <c r="BK27" s="408"/>
      <c r="BL27" s="408"/>
      <c r="BM27" s="408"/>
      <c r="BN27" s="408"/>
      <c r="BO27" s="408"/>
      <c r="BP27" s="408"/>
      <c r="BQ27" s="408"/>
      <c r="BR27" s="408"/>
      <c r="BS27" s="408"/>
      <c r="BT27" s="408"/>
      <c r="BU27" s="408"/>
      <c r="BV27" s="408"/>
      <c r="BW27" s="408"/>
      <c r="BX27" s="408"/>
      <c r="BY27" s="408"/>
      <c r="BZ27" s="408"/>
      <c r="CA27" s="408"/>
      <c r="CB27" s="408"/>
      <c r="CC27" s="408"/>
      <c r="CD27" s="408"/>
      <c r="CE27" s="408"/>
      <c r="CF27" s="408"/>
      <c r="CG27" s="408"/>
      <c r="CH27" s="408"/>
      <c r="CI27" s="408"/>
      <c r="CJ27" s="408"/>
      <c r="CK27" s="408"/>
      <c r="CL27" s="408"/>
      <c r="CM27" s="408"/>
      <c r="CN27" s="408"/>
      <c r="CO27" s="408"/>
      <c r="CP27" s="408"/>
      <c r="CQ27" s="408"/>
      <c r="CR27" s="408"/>
      <c r="CS27" s="408"/>
      <c r="CT27" s="408"/>
      <c r="CU27" s="408"/>
      <c r="CV27" s="408"/>
      <c r="CW27" s="408"/>
      <c r="CX27" s="408"/>
      <c r="CY27" s="408"/>
      <c r="CZ27" s="408"/>
      <c r="DA27" s="408"/>
      <c r="DB27" s="408"/>
      <c r="DC27" s="408"/>
      <c r="DD27" s="408"/>
      <c r="DE27" s="408"/>
      <c r="DF27" s="408"/>
      <c r="DG27" s="408"/>
      <c r="DH27" s="408"/>
      <c r="DI27" s="408"/>
      <c r="DJ27" s="408"/>
      <c r="DK27" s="408"/>
      <c r="DL27" s="408"/>
      <c r="DM27" s="408"/>
      <c r="DN27" s="408"/>
      <c r="DO27" s="408"/>
      <c r="DP27" s="408"/>
      <c r="DQ27" s="408"/>
      <c r="DR27" s="408"/>
      <c r="DS27" s="408"/>
      <c r="DT27" s="408"/>
      <c r="DU27" s="408"/>
      <c r="DV27" s="408"/>
      <c r="DW27" s="408"/>
      <c r="DX27" s="408"/>
      <c r="DY27" s="408"/>
      <c r="DZ27" s="408"/>
      <c r="EA27" s="408"/>
      <c r="EB27" s="408"/>
      <c r="EC27" s="408"/>
      <c r="ED27" s="408"/>
      <c r="EE27" s="408"/>
      <c r="EF27" s="408"/>
      <c r="EG27" s="408"/>
      <c r="EH27" s="408"/>
      <c r="EI27" s="408"/>
      <c r="EJ27" s="408"/>
      <c r="EK27" s="408"/>
      <c r="EL27" s="408"/>
      <c r="EM27" s="451"/>
      <c r="EN27" s="408"/>
      <c r="EO27" s="408"/>
      <c r="EP27" s="408"/>
      <c r="FG27" s="409"/>
      <c r="FH27" s="409"/>
      <c r="FI27" s="409"/>
      <c r="FJ27" s="409"/>
      <c r="FK27" s="409"/>
      <c r="FL27" s="409"/>
      <c r="FM27" s="409"/>
    </row>
    <row r="28" spans="1:169" hidden="1">
      <c r="A28" s="410" t="s">
        <v>218</v>
      </c>
      <c r="B28" s="459" t="s">
        <v>1306</v>
      </c>
      <c r="C28" s="412"/>
      <c r="D28" s="412"/>
      <c r="E28" s="412"/>
      <c r="F28" s="412"/>
      <c r="G28" s="412"/>
      <c r="H28" s="412"/>
      <c r="I28" s="412"/>
      <c r="J28" s="412"/>
      <c r="K28" s="412"/>
      <c r="L28" s="412"/>
      <c r="M28" s="413"/>
      <c r="N28" s="414"/>
      <c r="O28" s="413"/>
      <c r="P28" s="414"/>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3"/>
      <c r="AN28" s="413"/>
      <c r="AO28" s="414"/>
      <c r="AP28" s="413"/>
      <c r="AQ28" s="413"/>
      <c r="AR28" s="414"/>
      <c r="AS28" s="413"/>
      <c r="AT28" s="413"/>
      <c r="AU28" s="413"/>
      <c r="AV28" s="413"/>
      <c r="AW28" s="413"/>
      <c r="AX28" s="413"/>
      <c r="AY28" s="414"/>
      <c r="AZ28" s="413"/>
      <c r="BA28" s="413"/>
      <c r="BB28" s="414"/>
      <c r="BC28" s="413"/>
      <c r="BD28" s="413"/>
      <c r="BE28" s="413"/>
      <c r="BF28" s="413"/>
      <c r="BG28" s="413"/>
      <c r="BH28" s="413"/>
      <c r="BI28" s="414"/>
      <c r="BJ28" s="413"/>
      <c r="BK28" s="413"/>
      <c r="BL28" s="414"/>
      <c r="BM28" s="413"/>
      <c r="BN28" s="413"/>
      <c r="BO28" s="413"/>
      <c r="BP28" s="413"/>
      <c r="BQ28" s="413"/>
      <c r="BR28" s="413"/>
      <c r="BS28" s="413"/>
      <c r="BT28" s="413"/>
      <c r="BU28" s="413"/>
      <c r="BV28" s="413"/>
      <c r="BW28" s="413"/>
      <c r="BX28" s="413"/>
      <c r="BY28" s="413"/>
      <c r="BZ28" s="413"/>
      <c r="CA28" s="413"/>
      <c r="CB28" s="413"/>
      <c r="CC28" s="413"/>
      <c r="CD28" s="413"/>
      <c r="CE28" s="413"/>
      <c r="CF28" s="414"/>
      <c r="CG28" s="413"/>
      <c r="CH28" s="413"/>
      <c r="CI28" s="413"/>
      <c r="CJ28" s="413"/>
      <c r="CK28" s="413"/>
      <c r="CL28" s="413"/>
      <c r="CM28" s="414"/>
      <c r="CN28" s="413"/>
      <c r="CO28" s="413"/>
      <c r="CP28" s="414"/>
      <c r="CQ28" s="413"/>
      <c r="CR28" s="413"/>
      <c r="CS28" s="413"/>
      <c r="CT28" s="413"/>
      <c r="CU28" s="413"/>
      <c r="CV28" s="413"/>
      <c r="CW28" s="414"/>
      <c r="CX28" s="413"/>
      <c r="CY28" s="413"/>
      <c r="CZ28" s="414"/>
      <c r="DA28" s="413"/>
      <c r="DB28" s="414"/>
      <c r="DC28" s="413"/>
      <c r="DD28" s="413"/>
      <c r="DE28" s="413"/>
      <c r="DF28" s="413"/>
      <c r="DG28" s="414"/>
      <c r="DH28" s="413"/>
      <c r="DI28" s="413"/>
      <c r="DJ28" s="414"/>
      <c r="DK28" s="413"/>
      <c r="DL28" s="413"/>
      <c r="DM28" s="413"/>
      <c r="DN28" s="413"/>
      <c r="DO28" s="413"/>
      <c r="DP28" s="413"/>
      <c r="DQ28" s="414"/>
      <c r="DR28" s="413"/>
      <c r="DS28" s="413"/>
      <c r="DT28" s="413"/>
      <c r="DU28" s="413"/>
      <c r="DV28" s="413"/>
      <c r="DW28" s="413"/>
      <c r="DX28" s="413"/>
      <c r="DY28" s="413"/>
      <c r="DZ28" s="413"/>
      <c r="EA28" s="413"/>
      <c r="EB28" s="413"/>
      <c r="EC28" s="413"/>
      <c r="ED28" s="413"/>
      <c r="EE28" s="413"/>
      <c r="EF28" s="413"/>
      <c r="EG28" s="413"/>
      <c r="EH28" s="413"/>
      <c r="EI28" s="413"/>
      <c r="EJ28" s="413"/>
      <c r="EK28" s="413"/>
      <c r="EL28" s="413"/>
      <c r="EM28" s="452"/>
      <c r="EN28" s="413"/>
      <c r="EO28" s="453"/>
      <c r="EP28" s="413"/>
      <c r="EQ28" s="434"/>
      <c r="ER28" s="434"/>
      <c r="ES28" s="434"/>
      <c r="ET28" s="434"/>
      <c r="EU28" s="434"/>
      <c r="EV28" s="434"/>
      <c r="EW28" s="434"/>
      <c r="EX28" s="434"/>
      <c r="EY28" s="434"/>
      <c r="EZ28" s="434"/>
      <c r="FA28" s="434"/>
      <c r="FB28" s="434"/>
      <c r="FC28" s="434"/>
      <c r="FD28" s="434"/>
      <c r="FE28" s="434"/>
      <c r="FF28" s="399"/>
      <c r="FG28" s="415"/>
      <c r="FH28" s="415"/>
      <c r="FI28" s="415"/>
      <c r="FJ28" s="415"/>
      <c r="FK28" s="415"/>
      <c r="FL28" s="415"/>
      <c r="FM28" s="415"/>
    </row>
    <row r="29" spans="1:169" hidden="1">
      <c r="A29" s="410" t="s">
        <v>1297</v>
      </c>
      <c r="B29" s="459"/>
      <c r="C29" s="412"/>
      <c r="D29" s="412"/>
      <c r="E29" s="412"/>
      <c r="F29" s="412"/>
      <c r="G29" s="412"/>
      <c r="H29" s="412"/>
      <c r="I29" s="412"/>
      <c r="J29" s="412"/>
      <c r="K29" s="412"/>
      <c r="L29" s="412"/>
      <c r="M29" s="413"/>
      <c r="N29" s="414"/>
      <c r="O29" s="413"/>
      <c r="P29" s="414"/>
      <c r="Q29" s="413"/>
      <c r="R29" s="413"/>
      <c r="S29" s="413"/>
      <c r="T29" s="413"/>
      <c r="U29" s="413"/>
      <c r="V29" s="413"/>
      <c r="W29" s="413"/>
      <c r="X29" s="413"/>
      <c r="Y29" s="413"/>
      <c r="Z29" s="413"/>
      <c r="AA29" s="413"/>
      <c r="AB29" s="413"/>
      <c r="AC29" s="413"/>
      <c r="AD29" s="413"/>
      <c r="AE29" s="413"/>
      <c r="AF29" s="413"/>
      <c r="AG29" s="413"/>
      <c r="AH29" s="413"/>
      <c r="AI29" s="413"/>
      <c r="AJ29" s="413"/>
      <c r="AK29" s="413"/>
      <c r="AL29" s="413"/>
      <c r="AM29" s="413"/>
      <c r="AN29" s="413"/>
      <c r="AO29" s="414"/>
      <c r="AP29" s="413"/>
      <c r="AQ29" s="413"/>
      <c r="AR29" s="414"/>
      <c r="AS29" s="413"/>
      <c r="AT29" s="413"/>
      <c r="AU29" s="413"/>
      <c r="AV29" s="413"/>
      <c r="AW29" s="413"/>
      <c r="AX29" s="413"/>
      <c r="AY29" s="414"/>
      <c r="AZ29" s="413"/>
      <c r="BA29" s="413"/>
      <c r="BB29" s="414"/>
      <c r="BC29" s="413"/>
      <c r="BD29" s="413"/>
      <c r="BE29" s="413"/>
      <c r="BF29" s="413"/>
      <c r="BG29" s="413"/>
      <c r="BH29" s="413"/>
      <c r="BI29" s="414"/>
      <c r="BJ29" s="413"/>
      <c r="BK29" s="413"/>
      <c r="BL29" s="414"/>
      <c r="BM29" s="413"/>
      <c r="BN29" s="413"/>
      <c r="BO29" s="413"/>
      <c r="BP29" s="413"/>
      <c r="BQ29" s="413"/>
      <c r="BR29" s="413"/>
      <c r="BS29" s="413"/>
      <c r="BT29" s="413"/>
      <c r="BU29" s="413"/>
      <c r="BV29" s="413"/>
      <c r="BW29" s="413"/>
      <c r="BX29" s="413"/>
      <c r="BY29" s="413"/>
      <c r="BZ29" s="413"/>
      <c r="CA29" s="413"/>
      <c r="CB29" s="413"/>
      <c r="CC29" s="413"/>
      <c r="CD29" s="413"/>
      <c r="CE29" s="413"/>
      <c r="CF29" s="414"/>
      <c r="CG29" s="413"/>
      <c r="CH29" s="413"/>
      <c r="CI29" s="413"/>
      <c r="CJ29" s="413"/>
      <c r="CK29" s="413"/>
      <c r="CL29" s="413"/>
      <c r="CM29" s="414"/>
      <c r="CN29" s="413"/>
      <c r="CO29" s="413"/>
      <c r="CP29" s="414"/>
      <c r="CQ29" s="413"/>
      <c r="CR29" s="413"/>
      <c r="CS29" s="413"/>
      <c r="CT29" s="413"/>
      <c r="CU29" s="413"/>
      <c r="CV29" s="413"/>
      <c r="CW29" s="414"/>
      <c r="CX29" s="413"/>
      <c r="CY29" s="413"/>
      <c r="CZ29" s="414"/>
      <c r="DA29" s="413"/>
      <c r="DB29" s="414"/>
      <c r="DC29" s="413"/>
      <c r="DD29" s="413"/>
      <c r="DE29" s="413"/>
      <c r="DF29" s="413"/>
      <c r="DG29" s="414"/>
      <c r="DH29" s="413"/>
      <c r="DI29" s="413"/>
      <c r="DJ29" s="414"/>
      <c r="DK29" s="413"/>
      <c r="DL29" s="413"/>
      <c r="DM29" s="413"/>
      <c r="DN29" s="413"/>
      <c r="DO29" s="413"/>
      <c r="DP29" s="413"/>
      <c r="DQ29" s="414"/>
      <c r="DR29" s="413"/>
      <c r="DS29" s="413"/>
      <c r="DT29" s="413"/>
      <c r="DU29" s="413"/>
      <c r="DV29" s="413"/>
      <c r="DW29" s="413"/>
      <c r="DX29" s="413"/>
      <c r="DY29" s="413"/>
      <c r="DZ29" s="413"/>
      <c r="EA29" s="413"/>
      <c r="EB29" s="413"/>
      <c r="EC29" s="413"/>
      <c r="ED29" s="413"/>
      <c r="EE29" s="413"/>
      <c r="EF29" s="413"/>
      <c r="EG29" s="413"/>
      <c r="EH29" s="413"/>
      <c r="EI29" s="413"/>
      <c r="EJ29" s="413"/>
      <c r="EK29" s="413"/>
      <c r="EL29" s="413"/>
      <c r="EM29" s="452"/>
      <c r="EN29" s="413"/>
      <c r="EO29" s="453"/>
      <c r="EP29" s="413"/>
      <c r="EQ29" s="434"/>
      <c r="ER29" s="434"/>
      <c r="ES29" s="434"/>
      <c r="ET29" s="434"/>
      <c r="EU29" s="434"/>
      <c r="EV29" s="434"/>
      <c r="EW29" s="434"/>
      <c r="EX29" s="434"/>
      <c r="EY29" s="434"/>
      <c r="EZ29" s="434"/>
      <c r="FA29" s="434"/>
      <c r="FB29" s="434"/>
      <c r="FC29" s="434"/>
      <c r="FD29" s="434"/>
      <c r="FE29" s="434"/>
      <c r="FF29" s="399"/>
      <c r="FG29" s="415"/>
      <c r="FH29" s="415"/>
      <c r="FI29" s="415"/>
      <c r="FJ29" s="415"/>
      <c r="FK29" s="415"/>
      <c r="FL29" s="415"/>
      <c r="FM29" s="415"/>
    </row>
    <row r="30" spans="1:169" hidden="1">
      <c r="A30" s="410"/>
      <c r="B30" s="416" t="s">
        <v>672</v>
      </c>
      <c r="C30" s="412"/>
      <c r="D30" s="412"/>
      <c r="E30" s="412"/>
      <c r="F30" s="412"/>
      <c r="G30" s="412"/>
      <c r="H30" s="412"/>
      <c r="I30" s="412"/>
      <c r="J30" s="412"/>
      <c r="K30" s="412"/>
      <c r="L30" s="412"/>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3"/>
      <c r="AL30" s="413"/>
      <c r="AM30" s="413"/>
      <c r="AN30" s="413"/>
      <c r="AO30" s="414"/>
      <c r="AP30" s="413"/>
      <c r="AQ30" s="413"/>
      <c r="AR30" s="413"/>
      <c r="AS30" s="413"/>
      <c r="AT30" s="413"/>
      <c r="AU30" s="413"/>
      <c r="AV30" s="413"/>
      <c r="AW30" s="413"/>
      <c r="AX30" s="413"/>
      <c r="AY30" s="414"/>
      <c r="AZ30" s="413"/>
      <c r="BA30" s="413"/>
      <c r="BB30" s="413"/>
      <c r="BC30" s="413"/>
      <c r="BD30" s="413"/>
      <c r="BE30" s="413"/>
      <c r="BF30" s="413"/>
      <c r="BG30" s="413"/>
      <c r="BH30" s="413"/>
      <c r="BI30" s="414"/>
      <c r="BJ30" s="413"/>
      <c r="BK30" s="413"/>
      <c r="BL30" s="413"/>
      <c r="BM30" s="413"/>
      <c r="BN30" s="413"/>
      <c r="BO30" s="413"/>
      <c r="BP30" s="413"/>
      <c r="BQ30" s="413"/>
      <c r="BR30" s="413"/>
      <c r="BS30" s="413"/>
      <c r="BT30" s="413"/>
      <c r="BU30" s="413"/>
      <c r="BV30" s="413"/>
      <c r="BW30" s="413"/>
      <c r="BX30" s="413"/>
      <c r="BY30" s="413"/>
      <c r="BZ30" s="413"/>
      <c r="CA30" s="413"/>
      <c r="CB30" s="413"/>
      <c r="CC30" s="413"/>
      <c r="CD30" s="413"/>
      <c r="CE30" s="413"/>
      <c r="CF30" s="413"/>
      <c r="CG30" s="413"/>
      <c r="CH30" s="413"/>
      <c r="CI30" s="413"/>
      <c r="CJ30" s="413"/>
      <c r="CK30" s="413"/>
      <c r="CL30" s="413"/>
      <c r="CM30" s="414"/>
      <c r="CN30" s="413"/>
      <c r="CO30" s="413"/>
      <c r="CP30" s="413"/>
      <c r="CQ30" s="413"/>
      <c r="CR30" s="413"/>
      <c r="CS30" s="413"/>
      <c r="CT30" s="413"/>
      <c r="CU30" s="413"/>
      <c r="CV30" s="413"/>
      <c r="CW30" s="414"/>
      <c r="CX30" s="413"/>
      <c r="CY30" s="413"/>
      <c r="CZ30" s="413"/>
      <c r="DA30" s="413"/>
      <c r="DB30" s="413"/>
      <c r="DC30" s="413"/>
      <c r="DD30" s="413"/>
      <c r="DE30" s="413"/>
      <c r="DF30" s="413"/>
      <c r="DG30" s="414"/>
      <c r="DH30" s="413"/>
      <c r="DI30" s="413"/>
      <c r="DJ30" s="413"/>
      <c r="DK30" s="413"/>
      <c r="DL30" s="413"/>
      <c r="DM30" s="413"/>
      <c r="DN30" s="413"/>
      <c r="DO30" s="413"/>
      <c r="DP30" s="413"/>
      <c r="DQ30" s="414"/>
      <c r="DR30" s="413"/>
      <c r="DS30" s="413"/>
      <c r="DT30" s="413"/>
      <c r="DU30" s="413"/>
      <c r="DV30" s="413"/>
      <c r="DW30" s="413"/>
      <c r="DX30" s="413"/>
      <c r="DY30" s="413"/>
      <c r="DZ30" s="413"/>
      <c r="EA30" s="413"/>
      <c r="EB30" s="413"/>
      <c r="EC30" s="413"/>
      <c r="ED30" s="413"/>
      <c r="EE30" s="413"/>
      <c r="EF30" s="413"/>
      <c r="EG30" s="413"/>
      <c r="EH30" s="413"/>
      <c r="EI30" s="413"/>
      <c r="EJ30" s="413"/>
      <c r="EK30" s="413"/>
      <c r="EL30" s="413"/>
      <c r="EM30" s="452"/>
      <c r="EN30" s="413"/>
      <c r="EO30" s="453"/>
      <c r="EP30" s="413"/>
      <c r="EQ30" s="434"/>
      <c r="ER30" s="434"/>
      <c r="ES30" s="434"/>
      <c r="ET30" s="434"/>
      <c r="EU30" s="434"/>
      <c r="EV30" s="434"/>
      <c r="EW30" s="434"/>
      <c r="EX30" s="434"/>
      <c r="EY30" s="434"/>
      <c r="EZ30" s="434"/>
      <c r="FA30" s="434"/>
      <c r="FB30" s="434"/>
      <c r="FC30" s="399"/>
      <c r="FD30" s="399"/>
      <c r="FE30" s="399"/>
      <c r="FF30" s="399"/>
      <c r="FG30" s="415"/>
      <c r="FH30" s="415"/>
      <c r="FI30" s="415"/>
      <c r="FJ30" s="415"/>
      <c r="FK30" s="415"/>
      <c r="FL30" s="415"/>
      <c r="FM30" s="415"/>
    </row>
    <row r="31" spans="1:169" hidden="1">
      <c r="A31" s="410"/>
      <c r="B31" s="57" t="s">
        <v>153</v>
      </c>
      <c r="C31" s="412"/>
      <c r="D31" s="412"/>
      <c r="E31" s="412"/>
      <c r="F31" s="412"/>
      <c r="G31" s="412"/>
      <c r="H31" s="412"/>
      <c r="I31" s="412"/>
      <c r="J31" s="412"/>
      <c r="K31" s="412"/>
      <c r="L31" s="412"/>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4"/>
      <c r="AP31" s="413"/>
      <c r="AQ31" s="413"/>
      <c r="AR31" s="413"/>
      <c r="AS31" s="413"/>
      <c r="AT31" s="413"/>
      <c r="AU31" s="413"/>
      <c r="AV31" s="413"/>
      <c r="AW31" s="413"/>
      <c r="AX31" s="413"/>
      <c r="AY31" s="414"/>
      <c r="AZ31" s="413"/>
      <c r="BA31" s="413"/>
      <c r="BB31" s="413"/>
      <c r="BC31" s="413"/>
      <c r="BD31" s="413"/>
      <c r="BE31" s="413"/>
      <c r="BF31" s="413"/>
      <c r="BG31" s="413"/>
      <c r="BH31" s="413"/>
      <c r="BI31" s="414"/>
      <c r="BJ31" s="413"/>
      <c r="BK31" s="413"/>
      <c r="BL31" s="413"/>
      <c r="BM31" s="413"/>
      <c r="BN31" s="413"/>
      <c r="BO31" s="413"/>
      <c r="BP31" s="413"/>
      <c r="BQ31" s="413"/>
      <c r="BR31" s="413"/>
      <c r="BS31" s="413"/>
      <c r="BT31" s="413"/>
      <c r="BU31" s="413"/>
      <c r="BV31" s="413"/>
      <c r="BW31" s="413"/>
      <c r="BX31" s="413"/>
      <c r="BY31" s="413"/>
      <c r="BZ31" s="413"/>
      <c r="CA31" s="413"/>
      <c r="CB31" s="413"/>
      <c r="CC31" s="413"/>
      <c r="CD31" s="413"/>
      <c r="CE31" s="413"/>
      <c r="CF31" s="413"/>
      <c r="CG31" s="413"/>
      <c r="CH31" s="413"/>
      <c r="CI31" s="413"/>
      <c r="CJ31" s="413"/>
      <c r="CK31" s="413"/>
      <c r="CL31" s="413"/>
      <c r="CM31" s="414"/>
      <c r="CN31" s="413"/>
      <c r="CO31" s="413"/>
      <c r="CP31" s="413"/>
      <c r="CQ31" s="413"/>
      <c r="CR31" s="413"/>
      <c r="CS31" s="413"/>
      <c r="CT31" s="413"/>
      <c r="CU31" s="413"/>
      <c r="CV31" s="413"/>
      <c r="CW31" s="414"/>
      <c r="CX31" s="413"/>
      <c r="CY31" s="413"/>
      <c r="CZ31" s="413"/>
      <c r="DA31" s="413"/>
      <c r="DB31" s="413"/>
      <c r="DC31" s="413"/>
      <c r="DD31" s="413"/>
      <c r="DE31" s="413"/>
      <c r="DF31" s="413"/>
      <c r="DG31" s="414"/>
      <c r="DH31" s="413"/>
      <c r="DI31" s="413"/>
      <c r="DJ31" s="413"/>
      <c r="DK31" s="413"/>
      <c r="DL31" s="413"/>
      <c r="DM31" s="413"/>
      <c r="DN31" s="413"/>
      <c r="DO31" s="413"/>
      <c r="DP31" s="413"/>
      <c r="DQ31" s="414"/>
      <c r="DR31" s="413"/>
      <c r="DS31" s="413"/>
      <c r="DT31" s="413"/>
      <c r="DU31" s="413"/>
      <c r="DV31" s="413"/>
      <c r="DW31" s="413"/>
      <c r="DX31" s="413"/>
      <c r="DY31" s="413"/>
      <c r="DZ31" s="413"/>
      <c r="EA31" s="413"/>
      <c r="EB31" s="413"/>
      <c r="EC31" s="413"/>
      <c r="ED31" s="413"/>
      <c r="EE31" s="413"/>
      <c r="EF31" s="413"/>
      <c r="EG31" s="413"/>
      <c r="EH31" s="413"/>
      <c r="EI31" s="413"/>
      <c r="EJ31" s="413"/>
      <c r="EK31" s="413"/>
      <c r="EL31" s="413"/>
      <c r="EM31" s="452"/>
      <c r="EN31" s="413"/>
      <c r="EO31" s="453"/>
      <c r="EP31" s="413"/>
      <c r="EQ31" s="434"/>
      <c r="ER31" s="434"/>
      <c r="ES31" s="434"/>
      <c r="ET31" s="434"/>
      <c r="EU31" s="434"/>
      <c r="EV31" s="434"/>
      <c r="EW31" s="434"/>
      <c r="EX31" s="434"/>
      <c r="EY31" s="434"/>
      <c r="EZ31" s="434"/>
      <c r="FA31" s="434"/>
      <c r="FB31" s="434"/>
      <c r="FC31" s="399"/>
      <c r="FD31" s="399"/>
      <c r="FE31" s="399"/>
      <c r="FF31" s="399"/>
      <c r="FG31" s="415"/>
      <c r="FH31" s="415"/>
      <c r="FI31" s="415"/>
      <c r="FJ31" s="415"/>
      <c r="FK31" s="415"/>
      <c r="FL31" s="415"/>
      <c r="FM31" s="415"/>
    </row>
    <row r="32" spans="1:169" hidden="1">
      <c r="A32" s="410"/>
      <c r="B32" s="57"/>
      <c r="C32" s="412"/>
      <c r="D32" s="412"/>
      <c r="E32" s="412"/>
      <c r="F32" s="412"/>
      <c r="G32" s="412"/>
      <c r="H32" s="412"/>
      <c r="I32" s="412"/>
      <c r="J32" s="412"/>
      <c r="K32" s="412"/>
      <c r="L32" s="412"/>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3"/>
      <c r="AN32" s="413"/>
      <c r="AO32" s="414"/>
      <c r="AP32" s="413"/>
      <c r="AQ32" s="413"/>
      <c r="AR32" s="413"/>
      <c r="AS32" s="413"/>
      <c r="AT32" s="413"/>
      <c r="AU32" s="413"/>
      <c r="AV32" s="413"/>
      <c r="AW32" s="413"/>
      <c r="AX32" s="413"/>
      <c r="AY32" s="414"/>
      <c r="AZ32" s="413"/>
      <c r="BA32" s="413"/>
      <c r="BB32" s="413"/>
      <c r="BC32" s="413"/>
      <c r="BD32" s="413"/>
      <c r="BE32" s="413"/>
      <c r="BF32" s="413"/>
      <c r="BG32" s="413"/>
      <c r="BH32" s="413"/>
      <c r="BI32" s="414"/>
      <c r="BJ32" s="413"/>
      <c r="BK32" s="413"/>
      <c r="BL32" s="413"/>
      <c r="BM32" s="413"/>
      <c r="BN32" s="413"/>
      <c r="BO32" s="413"/>
      <c r="BP32" s="413"/>
      <c r="BQ32" s="413"/>
      <c r="BR32" s="413"/>
      <c r="BS32" s="413"/>
      <c r="BT32" s="413"/>
      <c r="BU32" s="413"/>
      <c r="BV32" s="413"/>
      <c r="BW32" s="413"/>
      <c r="BX32" s="413"/>
      <c r="BY32" s="413"/>
      <c r="BZ32" s="413"/>
      <c r="CA32" s="413"/>
      <c r="CB32" s="413"/>
      <c r="CC32" s="413"/>
      <c r="CD32" s="413"/>
      <c r="CE32" s="413"/>
      <c r="CF32" s="413"/>
      <c r="CG32" s="413"/>
      <c r="CH32" s="413"/>
      <c r="CI32" s="413"/>
      <c r="CJ32" s="413"/>
      <c r="CK32" s="413"/>
      <c r="CL32" s="413"/>
      <c r="CM32" s="414"/>
      <c r="CN32" s="413"/>
      <c r="CO32" s="413"/>
      <c r="CP32" s="413"/>
      <c r="CQ32" s="413"/>
      <c r="CR32" s="413"/>
      <c r="CS32" s="413"/>
      <c r="CT32" s="413"/>
      <c r="CU32" s="413"/>
      <c r="CV32" s="413"/>
      <c r="CW32" s="414"/>
      <c r="CX32" s="413"/>
      <c r="CY32" s="413"/>
      <c r="CZ32" s="413"/>
      <c r="DA32" s="413"/>
      <c r="DB32" s="413"/>
      <c r="DC32" s="413"/>
      <c r="DD32" s="413"/>
      <c r="DE32" s="413"/>
      <c r="DF32" s="413"/>
      <c r="DG32" s="414"/>
      <c r="DH32" s="413"/>
      <c r="DI32" s="413"/>
      <c r="DJ32" s="413"/>
      <c r="DK32" s="413"/>
      <c r="DL32" s="413"/>
      <c r="DM32" s="413"/>
      <c r="DN32" s="413"/>
      <c r="DO32" s="413"/>
      <c r="DP32" s="413"/>
      <c r="DQ32" s="414"/>
      <c r="DR32" s="413"/>
      <c r="DS32" s="413"/>
      <c r="DT32" s="413"/>
      <c r="DU32" s="413"/>
      <c r="DV32" s="413"/>
      <c r="DW32" s="413"/>
      <c r="DX32" s="413"/>
      <c r="DY32" s="413"/>
      <c r="DZ32" s="413"/>
      <c r="EA32" s="413"/>
      <c r="EB32" s="413"/>
      <c r="EC32" s="413"/>
      <c r="ED32" s="413"/>
      <c r="EE32" s="413"/>
      <c r="EF32" s="413"/>
      <c r="EG32" s="413"/>
      <c r="EH32" s="413"/>
      <c r="EI32" s="413"/>
      <c r="EJ32" s="413"/>
      <c r="EK32" s="413"/>
      <c r="EL32" s="413"/>
      <c r="EM32" s="452"/>
      <c r="EN32" s="413"/>
      <c r="EO32" s="453"/>
      <c r="EP32" s="413"/>
      <c r="EQ32" s="434"/>
      <c r="ER32" s="434"/>
      <c r="ES32" s="434"/>
      <c r="ET32" s="434"/>
      <c r="EU32" s="434"/>
      <c r="EV32" s="434"/>
      <c r="EW32" s="434"/>
      <c r="EX32" s="434"/>
      <c r="EY32" s="434"/>
      <c r="EZ32" s="434"/>
      <c r="FA32" s="434"/>
      <c r="FB32" s="434"/>
      <c r="FC32" s="399"/>
      <c r="FD32" s="399"/>
      <c r="FE32" s="399"/>
      <c r="FF32" s="399"/>
      <c r="FG32" s="415"/>
      <c r="FH32" s="415"/>
      <c r="FI32" s="415"/>
      <c r="FJ32" s="415"/>
      <c r="FK32" s="415"/>
      <c r="FL32" s="415"/>
      <c r="FM32" s="415"/>
    </row>
    <row r="33" spans="1:169" ht="28.5">
      <c r="A33" s="410">
        <v>4</v>
      </c>
      <c r="B33" s="461" t="s">
        <v>1307</v>
      </c>
      <c r="C33" s="412"/>
      <c r="D33" s="412"/>
      <c r="E33" s="412"/>
      <c r="F33" s="412"/>
      <c r="G33" s="412"/>
      <c r="H33" s="412"/>
      <c r="I33" s="412"/>
      <c r="J33" s="412"/>
      <c r="K33" s="412"/>
      <c r="L33" s="412"/>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3"/>
      <c r="AN33" s="413"/>
      <c r="AO33" s="414"/>
      <c r="AP33" s="413"/>
      <c r="AQ33" s="413"/>
      <c r="AR33" s="413"/>
      <c r="AS33" s="413"/>
      <c r="AT33" s="413"/>
      <c r="AU33" s="413"/>
      <c r="AV33" s="413"/>
      <c r="AW33" s="413"/>
      <c r="AX33" s="413"/>
      <c r="AY33" s="414"/>
      <c r="AZ33" s="413"/>
      <c r="BA33" s="413"/>
      <c r="BB33" s="413"/>
      <c r="BC33" s="413"/>
      <c r="BD33" s="413"/>
      <c r="BE33" s="413"/>
      <c r="BF33" s="413"/>
      <c r="BG33" s="413"/>
      <c r="BH33" s="413"/>
      <c r="BI33" s="414"/>
      <c r="BJ33" s="413"/>
      <c r="BK33" s="413"/>
      <c r="BL33" s="413"/>
      <c r="BM33" s="413"/>
      <c r="BN33" s="413"/>
      <c r="BO33" s="413"/>
      <c r="BP33" s="413"/>
      <c r="BQ33" s="413"/>
      <c r="BR33" s="413"/>
      <c r="BS33" s="413"/>
      <c r="BT33" s="413"/>
      <c r="BU33" s="413"/>
      <c r="BV33" s="413"/>
      <c r="BW33" s="413"/>
      <c r="BX33" s="413"/>
      <c r="BY33" s="413"/>
      <c r="BZ33" s="413"/>
      <c r="CA33" s="413"/>
      <c r="CB33" s="413"/>
      <c r="CC33" s="413"/>
      <c r="CD33" s="413"/>
      <c r="CE33" s="413"/>
      <c r="CF33" s="413"/>
      <c r="CG33" s="413"/>
      <c r="CH33" s="413"/>
      <c r="CI33" s="413"/>
      <c r="CJ33" s="413"/>
      <c r="CK33" s="413"/>
      <c r="CL33" s="413"/>
      <c r="CM33" s="414"/>
      <c r="CN33" s="413"/>
      <c r="CO33" s="413"/>
      <c r="CP33" s="413"/>
      <c r="CQ33" s="413"/>
      <c r="CR33" s="413"/>
      <c r="CS33" s="413"/>
      <c r="CT33" s="413"/>
      <c r="CU33" s="413"/>
      <c r="CV33" s="413"/>
      <c r="CW33" s="414"/>
      <c r="CX33" s="413"/>
      <c r="CY33" s="413"/>
      <c r="CZ33" s="413"/>
      <c r="DA33" s="413"/>
      <c r="DB33" s="413"/>
      <c r="DC33" s="413"/>
      <c r="DD33" s="413"/>
      <c r="DE33" s="413"/>
      <c r="DF33" s="413"/>
      <c r="DG33" s="414"/>
      <c r="DH33" s="413"/>
      <c r="DI33" s="413"/>
      <c r="DJ33" s="413"/>
      <c r="DK33" s="413"/>
      <c r="DL33" s="413"/>
      <c r="DM33" s="413"/>
      <c r="DN33" s="413"/>
      <c r="DO33" s="413"/>
      <c r="DP33" s="413"/>
      <c r="DQ33" s="414"/>
      <c r="DR33" s="413"/>
      <c r="DS33" s="413"/>
      <c r="DT33" s="413"/>
      <c r="DU33" s="413"/>
      <c r="DV33" s="413"/>
      <c r="DW33" s="413"/>
      <c r="DX33" s="413"/>
      <c r="DY33" s="413"/>
      <c r="DZ33" s="413"/>
      <c r="EA33" s="413"/>
      <c r="EB33" s="413"/>
      <c r="EC33" s="413"/>
      <c r="ED33" s="413"/>
      <c r="EE33" s="413"/>
      <c r="EF33" s="413"/>
      <c r="EG33" s="413"/>
      <c r="EH33" s="413"/>
      <c r="EI33" s="413"/>
      <c r="EJ33" s="413"/>
      <c r="EK33" s="413"/>
      <c r="EL33" s="413"/>
      <c r="EM33" s="452"/>
      <c r="EN33" s="413"/>
      <c r="EO33" s="453"/>
      <c r="EP33" s="413"/>
      <c r="EQ33" s="434"/>
      <c r="ER33" s="434"/>
      <c r="ES33" s="434"/>
      <c r="ET33" s="434"/>
      <c r="EU33" s="434"/>
      <c r="EV33" s="434"/>
      <c r="EW33" s="434"/>
      <c r="EX33" s="434"/>
      <c r="EY33" s="434"/>
      <c r="EZ33" s="434"/>
      <c r="FA33" s="434"/>
      <c r="FB33" s="434"/>
      <c r="FC33" s="399"/>
      <c r="FD33" s="399"/>
      <c r="FE33" s="399"/>
      <c r="FF33" s="399"/>
      <c r="FG33" s="415"/>
      <c r="FH33" s="415"/>
      <c r="FI33" s="415"/>
      <c r="FJ33" s="415"/>
      <c r="FK33" s="415"/>
      <c r="FL33" s="415"/>
      <c r="FM33" s="415"/>
    </row>
    <row r="34" spans="1:169" hidden="1">
      <c r="A34" s="462" t="s">
        <v>15</v>
      </c>
      <c r="B34" s="181" t="s">
        <v>1308</v>
      </c>
      <c r="C34" s="412"/>
      <c r="D34" s="412"/>
      <c r="E34" s="412"/>
      <c r="F34" s="412"/>
      <c r="G34" s="412"/>
      <c r="H34" s="412"/>
      <c r="I34" s="412"/>
      <c r="J34" s="412"/>
      <c r="K34" s="412"/>
      <c r="L34" s="412"/>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3"/>
      <c r="AM34" s="413"/>
      <c r="AN34" s="413"/>
      <c r="AO34" s="414"/>
      <c r="AP34" s="413"/>
      <c r="AQ34" s="413"/>
      <c r="AR34" s="413"/>
      <c r="AS34" s="413"/>
      <c r="AT34" s="413"/>
      <c r="AU34" s="413"/>
      <c r="AV34" s="413"/>
      <c r="AW34" s="413"/>
      <c r="AX34" s="413"/>
      <c r="AY34" s="414"/>
      <c r="AZ34" s="413"/>
      <c r="BA34" s="413"/>
      <c r="BB34" s="413"/>
      <c r="BC34" s="413"/>
      <c r="BD34" s="413"/>
      <c r="BE34" s="413"/>
      <c r="BF34" s="413"/>
      <c r="BG34" s="413"/>
      <c r="BH34" s="413"/>
      <c r="BI34" s="414"/>
      <c r="BJ34" s="413"/>
      <c r="BK34" s="413"/>
      <c r="BL34" s="413"/>
      <c r="BM34" s="413"/>
      <c r="BN34" s="413"/>
      <c r="BO34" s="413"/>
      <c r="BP34" s="413"/>
      <c r="BQ34" s="413"/>
      <c r="BR34" s="413"/>
      <c r="BS34" s="413"/>
      <c r="BT34" s="413"/>
      <c r="BU34" s="413"/>
      <c r="BV34" s="413"/>
      <c r="BW34" s="413"/>
      <c r="BX34" s="413"/>
      <c r="BY34" s="413"/>
      <c r="BZ34" s="413"/>
      <c r="CA34" s="413"/>
      <c r="CB34" s="413"/>
      <c r="CC34" s="413"/>
      <c r="CD34" s="413"/>
      <c r="CE34" s="413"/>
      <c r="CF34" s="413"/>
      <c r="CG34" s="413"/>
      <c r="CH34" s="413"/>
      <c r="CI34" s="413"/>
      <c r="CJ34" s="413"/>
      <c r="CK34" s="413"/>
      <c r="CL34" s="413"/>
      <c r="CM34" s="414"/>
      <c r="CN34" s="413"/>
      <c r="CO34" s="413"/>
      <c r="CP34" s="413"/>
      <c r="CQ34" s="413"/>
      <c r="CR34" s="413"/>
      <c r="CS34" s="413"/>
      <c r="CT34" s="413"/>
      <c r="CU34" s="413"/>
      <c r="CV34" s="413"/>
      <c r="CW34" s="414"/>
      <c r="CX34" s="413"/>
      <c r="CY34" s="413"/>
      <c r="CZ34" s="413"/>
      <c r="DA34" s="413"/>
      <c r="DB34" s="413"/>
      <c r="DC34" s="413"/>
      <c r="DD34" s="413"/>
      <c r="DE34" s="413"/>
      <c r="DF34" s="413"/>
      <c r="DG34" s="414"/>
      <c r="DH34" s="413"/>
      <c r="DI34" s="413"/>
      <c r="DJ34" s="413"/>
      <c r="DK34" s="413"/>
      <c r="DL34" s="413"/>
      <c r="DM34" s="413"/>
      <c r="DN34" s="413"/>
      <c r="DO34" s="413"/>
      <c r="DP34" s="413"/>
      <c r="DQ34" s="414"/>
      <c r="DR34" s="413"/>
      <c r="DS34" s="413"/>
      <c r="DT34" s="413"/>
      <c r="DU34" s="413"/>
      <c r="DV34" s="413"/>
      <c r="DW34" s="413"/>
      <c r="DX34" s="413"/>
      <c r="DY34" s="413"/>
      <c r="DZ34" s="413"/>
      <c r="EA34" s="413"/>
      <c r="EB34" s="413"/>
      <c r="EC34" s="413"/>
      <c r="ED34" s="413"/>
      <c r="EE34" s="413"/>
      <c r="EF34" s="413"/>
      <c r="EG34" s="413"/>
      <c r="EH34" s="413"/>
      <c r="EI34" s="413"/>
      <c r="EJ34" s="413"/>
      <c r="EK34" s="413"/>
      <c r="EL34" s="413"/>
      <c r="EM34" s="452"/>
      <c r="EN34" s="413"/>
      <c r="EO34" s="453"/>
      <c r="EP34" s="413"/>
      <c r="EQ34" s="434"/>
      <c r="ER34" s="434"/>
      <c r="ES34" s="434"/>
      <c r="ET34" s="434"/>
      <c r="EU34" s="434"/>
      <c r="EV34" s="434"/>
      <c r="EW34" s="434"/>
      <c r="EX34" s="434"/>
      <c r="EY34" s="434"/>
      <c r="EZ34" s="434"/>
      <c r="FA34" s="434"/>
      <c r="FB34" s="434"/>
      <c r="FC34" s="399"/>
      <c r="FD34" s="399"/>
      <c r="FE34" s="399"/>
      <c r="FF34" s="399"/>
      <c r="FG34" s="415"/>
      <c r="FH34" s="415"/>
      <c r="FI34" s="415"/>
      <c r="FJ34" s="415"/>
      <c r="FK34" s="415"/>
      <c r="FL34" s="415"/>
      <c r="FM34" s="415"/>
    </row>
    <row r="35" spans="1:169" hidden="1">
      <c r="A35" s="410" t="s">
        <v>82</v>
      </c>
      <c r="B35" s="459" t="s">
        <v>1309</v>
      </c>
      <c r="C35" s="412"/>
      <c r="D35" s="412"/>
      <c r="E35" s="412"/>
      <c r="F35" s="412"/>
      <c r="G35" s="412"/>
      <c r="H35" s="412"/>
      <c r="I35" s="412"/>
      <c r="J35" s="412"/>
      <c r="K35" s="412"/>
      <c r="L35" s="412"/>
      <c r="M35" s="413"/>
      <c r="N35" s="413"/>
      <c r="O35" s="413"/>
      <c r="P35" s="413"/>
      <c r="Q35" s="413"/>
      <c r="R35" s="413"/>
      <c r="S35" s="413"/>
      <c r="T35" s="413"/>
      <c r="U35" s="413"/>
      <c r="V35" s="413"/>
      <c r="W35" s="413"/>
      <c r="X35" s="413"/>
      <c r="Y35" s="413"/>
      <c r="Z35" s="413"/>
      <c r="AA35" s="413"/>
      <c r="AB35" s="413"/>
      <c r="AC35" s="413"/>
      <c r="AD35" s="413"/>
      <c r="AE35" s="413"/>
      <c r="AF35" s="413"/>
      <c r="AG35" s="413"/>
      <c r="AH35" s="413"/>
      <c r="AI35" s="413"/>
      <c r="AJ35" s="413"/>
      <c r="AK35" s="413"/>
      <c r="AL35" s="413"/>
      <c r="AM35" s="413"/>
      <c r="AN35" s="413"/>
      <c r="AO35" s="414"/>
      <c r="AP35" s="413"/>
      <c r="AQ35" s="413"/>
      <c r="AR35" s="413"/>
      <c r="AS35" s="413"/>
      <c r="AT35" s="413"/>
      <c r="AU35" s="413"/>
      <c r="AV35" s="413"/>
      <c r="AW35" s="413"/>
      <c r="AX35" s="413"/>
      <c r="AY35" s="414"/>
      <c r="AZ35" s="413"/>
      <c r="BA35" s="413"/>
      <c r="BB35" s="413"/>
      <c r="BC35" s="413"/>
      <c r="BD35" s="413"/>
      <c r="BE35" s="413"/>
      <c r="BF35" s="413"/>
      <c r="BG35" s="413"/>
      <c r="BH35" s="413"/>
      <c r="BI35" s="414"/>
      <c r="BJ35" s="413"/>
      <c r="BK35" s="413"/>
      <c r="BL35" s="413"/>
      <c r="BM35" s="413"/>
      <c r="BN35" s="413"/>
      <c r="BO35" s="413"/>
      <c r="BP35" s="413"/>
      <c r="BQ35" s="413"/>
      <c r="BR35" s="413"/>
      <c r="BS35" s="413"/>
      <c r="BT35" s="413"/>
      <c r="BU35" s="413"/>
      <c r="BV35" s="413"/>
      <c r="BW35" s="413"/>
      <c r="BX35" s="413"/>
      <c r="BY35" s="413"/>
      <c r="BZ35" s="413"/>
      <c r="CA35" s="413"/>
      <c r="CB35" s="413"/>
      <c r="CC35" s="413"/>
      <c r="CD35" s="413"/>
      <c r="CE35" s="413"/>
      <c r="CF35" s="413"/>
      <c r="CG35" s="413"/>
      <c r="CH35" s="413"/>
      <c r="CI35" s="413"/>
      <c r="CJ35" s="413"/>
      <c r="CK35" s="413"/>
      <c r="CL35" s="413"/>
      <c r="CM35" s="414"/>
      <c r="CN35" s="413"/>
      <c r="CO35" s="413"/>
      <c r="CP35" s="413"/>
      <c r="CQ35" s="413"/>
      <c r="CR35" s="413"/>
      <c r="CS35" s="413"/>
      <c r="CT35" s="413"/>
      <c r="CU35" s="413"/>
      <c r="CV35" s="413"/>
      <c r="CW35" s="414"/>
      <c r="CX35" s="413"/>
      <c r="CY35" s="413"/>
      <c r="CZ35" s="413"/>
      <c r="DA35" s="413"/>
      <c r="DB35" s="413"/>
      <c r="DC35" s="413"/>
      <c r="DD35" s="413"/>
      <c r="DE35" s="413"/>
      <c r="DF35" s="413"/>
      <c r="DG35" s="414"/>
      <c r="DH35" s="413"/>
      <c r="DI35" s="413"/>
      <c r="DJ35" s="413"/>
      <c r="DK35" s="413"/>
      <c r="DL35" s="413"/>
      <c r="DM35" s="413"/>
      <c r="DN35" s="413"/>
      <c r="DO35" s="413"/>
      <c r="DP35" s="413"/>
      <c r="DQ35" s="414"/>
      <c r="DR35" s="413"/>
      <c r="DS35" s="413"/>
      <c r="DT35" s="413"/>
      <c r="DU35" s="413"/>
      <c r="DV35" s="413"/>
      <c r="DW35" s="413"/>
      <c r="DX35" s="413"/>
      <c r="DY35" s="413"/>
      <c r="DZ35" s="413"/>
      <c r="EA35" s="413"/>
      <c r="EB35" s="413"/>
      <c r="EC35" s="413"/>
      <c r="ED35" s="413"/>
      <c r="EE35" s="413"/>
      <c r="EF35" s="413"/>
      <c r="EG35" s="413"/>
      <c r="EH35" s="413"/>
      <c r="EI35" s="413"/>
      <c r="EJ35" s="413"/>
      <c r="EK35" s="413"/>
      <c r="EL35" s="413"/>
      <c r="EM35" s="452"/>
      <c r="EN35" s="413"/>
      <c r="EO35" s="453"/>
      <c r="EP35" s="413"/>
      <c r="EQ35" s="434"/>
      <c r="ER35" s="434"/>
      <c r="ES35" s="434"/>
      <c r="ET35" s="434"/>
      <c r="EU35" s="434"/>
      <c r="EV35" s="434"/>
      <c r="EW35" s="434"/>
      <c r="EX35" s="434"/>
      <c r="EY35" s="434"/>
      <c r="EZ35" s="434"/>
      <c r="FA35" s="434"/>
      <c r="FB35" s="434"/>
      <c r="FC35" s="399"/>
      <c r="FD35" s="399"/>
      <c r="FE35" s="399"/>
      <c r="FF35" s="399"/>
      <c r="FG35" s="415"/>
      <c r="FH35" s="415"/>
      <c r="FI35" s="415"/>
      <c r="FJ35" s="415"/>
      <c r="FK35" s="415"/>
      <c r="FL35" s="415"/>
      <c r="FM35" s="415"/>
    </row>
    <row r="36" spans="1:169" hidden="1">
      <c r="A36" s="410" t="s">
        <v>83</v>
      </c>
      <c r="B36" s="459" t="s">
        <v>1310</v>
      </c>
      <c r="C36" s="412"/>
      <c r="D36" s="412"/>
      <c r="E36" s="412"/>
      <c r="F36" s="412"/>
      <c r="G36" s="412"/>
      <c r="H36" s="412"/>
      <c r="I36" s="412"/>
      <c r="J36" s="412"/>
      <c r="K36" s="412"/>
      <c r="L36" s="412"/>
      <c r="M36" s="413"/>
      <c r="N36" s="413"/>
      <c r="O36" s="413"/>
      <c r="P36" s="413"/>
      <c r="Q36" s="413"/>
      <c r="R36" s="413"/>
      <c r="S36" s="413"/>
      <c r="T36" s="413"/>
      <c r="U36" s="413"/>
      <c r="V36" s="413"/>
      <c r="W36" s="413"/>
      <c r="X36" s="413"/>
      <c r="Y36" s="413"/>
      <c r="Z36" s="413"/>
      <c r="AA36" s="413"/>
      <c r="AB36" s="413"/>
      <c r="AC36" s="413"/>
      <c r="AD36" s="413"/>
      <c r="AE36" s="413"/>
      <c r="AF36" s="413"/>
      <c r="AG36" s="413"/>
      <c r="AH36" s="413"/>
      <c r="AI36" s="413"/>
      <c r="AJ36" s="413"/>
      <c r="AK36" s="413"/>
      <c r="AL36" s="413"/>
      <c r="AM36" s="413"/>
      <c r="AN36" s="413"/>
      <c r="AO36" s="414"/>
      <c r="AP36" s="413"/>
      <c r="AQ36" s="413"/>
      <c r="AR36" s="413"/>
      <c r="AS36" s="413"/>
      <c r="AT36" s="413"/>
      <c r="AU36" s="413"/>
      <c r="AV36" s="413"/>
      <c r="AW36" s="413"/>
      <c r="AX36" s="413"/>
      <c r="AY36" s="414"/>
      <c r="AZ36" s="413"/>
      <c r="BA36" s="413"/>
      <c r="BB36" s="413"/>
      <c r="BC36" s="413"/>
      <c r="BD36" s="413"/>
      <c r="BE36" s="413"/>
      <c r="BF36" s="413"/>
      <c r="BG36" s="413"/>
      <c r="BH36" s="413"/>
      <c r="BI36" s="414"/>
      <c r="BJ36" s="413"/>
      <c r="BK36" s="413"/>
      <c r="BL36" s="413"/>
      <c r="BM36" s="413"/>
      <c r="BN36" s="413"/>
      <c r="BO36" s="413"/>
      <c r="BP36" s="413"/>
      <c r="BQ36" s="413"/>
      <c r="BR36" s="413"/>
      <c r="BS36" s="413"/>
      <c r="BT36" s="413"/>
      <c r="BU36" s="413"/>
      <c r="BV36" s="413"/>
      <c r="BW36" s="413"/>
      <c r="BX36" s="413"/>
      <c r="BY36" s="413"/>
      <c r="BZ36" s="413"/>
      <c r="CA36" s="413"/>
      <c r="CB36" s="413"/>
      <c r="CC36" s="413"/>
      <c r="CD36" s="413"/>
      <c r="CE36" s="413"/>
      <c r="CF36" s="413"/>
      <c r="CG36" s="413"/>
      <c r="CH36" s="413"/>
      <c r="CI36" s="413"/>
      <c r="CJ36" s="413"/>
      <c r="CK36" s="413"/>
      <c r="CL36" s="413"/>
      <c r="CM36" s="414"/>
      <c r="CN36" s="413"/>
      <c r="CO36" s="413"/>
      <c r="CP36" s="413"/>
      <c r="CQ36" s="413"/>
      <c r="CR36" s="413"/>
      <c r="CS36" s="413"/>
      <c r="CT36" s="413"/>
      <c r="CU36" s="413"/>
      <c r="CV36" s="413"/>
      <c r="CW36" s="414"/>
      <c r="CX36" s="413"/>
      <c r="CY36" s="413"/>
      <c r="CZ36" s="413"/>
      <c r="DA36" s="413"/>
      <c r="DB36" s="413"/>
      <c r="DC36" s="413"/>
      <c r="DD36" s="413"/>
      <c r="DE36" s="413"/>
      <c r="DF36" s="413"/>
      <c r="DG36" s="414"/>
      <c r="DH36" s="413"/>
      <c r="DI36" s="413"/>
      <c r="DJ36" s="413"/>
      <c r="DK36" s="413"/>
      <c r="DL36" s="413"/>
      <c r="DM36" s="413"/>
      <c r="DN36" s="413"/>
      <c r="DO36" s="413"/>
      <c r="DP36" s="413"/>
      <c r="DQ36" s="414"/>
      <c r="DR36" s="413"/>
      <c r="DS36" s="413"/>
      <c r="DT36" s="413"/>
      <c r="DU36" s="413"/>
      <c r="DV36" s="413"/>
      <c r="DW36" s="413"/>
      <c r="DX36" s="413"/>
      <c r="DY36" s="413"/>
      <c r="DZ36" s="413"/>
      <c r="EA36" s="413"/>
      <c r="EB36" s="413"/>
      <c r="EC36" s="413"/>
      <c r="ED36" s="413"/>
      <c r="EE36" s="413"/>
      <c r="EF36" s="413"/>
      <c r="EG36" s="413"/>
      <c r="EH36" s="413"/>
      <c r="EI36" s="413"/>
      <c r="EJ36" s="413"/>
      <c r="EK36" s="413"/>
      <c r="EL36" s="413"/>
      <c r="EM36" s="452"/>
      <c r="EN36" s="413"/>
      <c r="EO36" s="453"/>
      <c r="EP36" s="413"/>
      <c r="EQ36" s="434"/>
      <c r="ER36" s="434"/>
      <c r="ES36" s="434"/>
      <c r="ET36" s="434"/>
      <c r="EU36" s="434"/>
      <c r="EV36" s="434"/>
      <c r="EW36" s="434"/>
      <c r="EX36" s="434"/>
      <c r="EY36" s="434"/>
      <c r="EZ36" s="434"/>
      <c r="FA36" s="434"/>
      <c r="FB36" s="434"/>
      <c r="FC36" s="399"/>
      <c r="FD36" s="399"/>
      <c r="FE36" s="399"/>
      <c r="FF36" s="399"/>
      <c r="FG36" s="415"/>
      <c r="FH36" s="415"/>
      <c r="FI36" s="415"/>
      <c r="FJ36" s="415"/>
      <c r="FK36" s="415"/>
      <c r="FL36" s="415"/>
      <c r="FM36" s="415"/>
    </row>
    <row r="37" spans="1:169" hidden="1">
      <c r="A37" s="410" t="s">
        <v>86</v>
      </c>
      <c r="B37" s="459" t="s">
        <v>1311</v>
      </c>
      <c r="C37" s="412"/>
      <c r="D37" s="412"/>
      <c r="E37" s="412"/>
      <c r="F37" s="412"/>
      <c r="G37" s="412"/>
      <c r="H37" s="412"/>
      <c r="I37" s="412"/>
      <c r="J37" s="412"/>
      <c r="K37" s="412"/>
      <c r="L37" s="412"/>
      <c r="M37" s="413"/>
      <c r="N37" s="413"/>
      <c r="O37" s="413"/>
      <c r="P37" s="413"/>
      <c r="Q37" s="413"/>
      <c r="R37" s="413"/>
      <c r="S37" s="413"/>
      <c r="T37" s="413"/>
      <c r="U37" s="413"/>
      <c r="V37" s="413"/>
      <c r="W37" s="413"/>
      <c r="X37" s="413"/>
      <c r="Y37" s="413"/>
      <c r="Z37" s="413"/>
      <c r="AA37" s="413"/>
      <c r="AB37" s="413"/>
      <c r="AC37" s="413"/>
      <c r="AD37" s="413"/>
      <c r="AE37" s="413"/>
      <c r="AF37" s="413"/>
      <c r="AG37" s="413"/>
      <c r="AH37" s="413"/>
      <c r="AI37" s="413"/>
      <c r="AJ37" s="413"/>
      <c r="AK37" s="413"/>
      <c r="AL37" s="413"/>
      <c r="AM37" s="413"/>
      <c r="AN37" s="413"/>
      <c r="AO37" s="414"/>
      <c r="AP37" s="413"/>
      <c r="AQ37" s="413"/>
      <c r="AR37" s="413"/>
      <c r="AS37" s="413"/>
      <c r="AT37" s="413"/>
      <c r="AU37" s="413"/>
      <c r="AV37" s="413"/>
      <c r="AW37" s="413"/>
      <c r="AX37" s="413"/>
      <c r="AY37" s="414"/>
      <c r="AZ37" s="413"/>
      <c r="BA37" s="413"/>
      <c r="BB37" s="413"/>
      <c r="BC37" s="413"/>
      <c r="BD37" s="413"/>
      <c r="BE37" s="413"/>
      <c r="BF37" s="413"/>
      <c r="BG37" s="413"/>
      <c r="BH37" s="413"/>
      <c r="BI37" s="414"/>
      <c r="BJ37" s="413"/>
      <c r="BK37" s="413"/>
      <c r="BL37" s="413"/>
      <c r="BM37" s="413"/>
      <c r="BN37" s="413"/>
      <c r="BO37" s="413"/>
      <c r="BP37" s="413"/>
      <c r="BQ37" s="413"/>
      <c r="BR37" s="413"/>
      <c r="BS37" s="413"/>
      <c r="BT37" s="413"/>
      <c r="BU37" s="413"/>
      <c r="BV37" s="413"/>
      <c r="BW37" s="413"/>
      <c r="BX37" s="413"/>
      <c r="BY37" s="413"/>
      <c r="BZ37" s="413"/>
      <c r="CA37" s="413"/>
      <c r="CB37" s="413"/>
      <c r="CC37" s="413"/>
      <c r="CD37" s="413"/>
      <c r="CE37" s="413"/>
      <c r="CF37" s="413"/>
      <c r="CG37" s="413"/>
      <c r="CH37" s="413"/>
      <c r="CI37" s="413"/>
      <c r="CJ37" s="413"/>
      <c r="CK37" s="413"/>
      <c r="CL37" s="413"/>
      <c r="CM37" s="414"/>
      <c r="CN37" s="413"/>
      <c r="CO37" s="413"/>
      <c r="CP37" s="413"/>
      <c r="CQ37" s="413"/>
      <c r="CR37" s="413"/>
      <c r="CS37" s="413"/>
      <c r="CT37" s="413"/>
      <c r="CU37" s="413"/>
      <c r="CV37" s="413"/>
      <c r="CW37" s="414"/>
      <c r="CX37" s="413"/>
      <c r="CY37" s="413"/>
      <c r="CZ37" s="413"/>
      <c r="DA37" s="413"/>
      <c r="DB37" s="413"/>
      <c r="DC37" s="413"/>
      <c r="DD37" s="413"/>
      <c r="DE37" s="413"/>
      <c r="DF37" s="413"/>
      <c r="DG37" s="414"/>
      <c r="DH37" s="413"/>
      <c r="DI37" s="413"/>
      <c r="DJ37" s="413"/>
      <c r="DK37" s="413"/>
      <c r="DL37" s="413"/>
      <c r="DM37" s="413"/>
      <c r="DN37" s="413"/>
      <c r="DO37" s="413"/>
      <c r="DP37" s="413"/>
      <c r="DQ37" s="414"/>
      <c r="DR37" s="413"/>
      <c r="DS37" s="413"/>
      <c r="DT37" s="413"/>
      <c r="DU37" s="413"/>
      <c r="DV37" s="413"/>
      <c r="DW37" s="413"/>
      <c r="DX37" s="413"/>
      <c r="DY37" s="413"/>
      <c r="DZ37" s="413"/>
      <c r="EA37" s="413"/>
      <c r="EB37" s="413"/>
      <c r="EC37" s="413"/>
      <c r="ED37" s="413"/>
      <c r="EE37" s="413"/>
      <c r="EF37" s="413"/>
      <c r="EG37" s="413"/>
      <c r="EH37" s="413"/>
      <c r="EI37" s="413"/>
      <c r="EJ37" s="413"/>
      <c r="EK37" s="413"/>
      <c r="EL37" s="413"/>
      <c r="EM37" s="452"/>
      <c r="EN37" s="413"/>
      <c r="EO37" s="453"/>
      <c r="EP37" s="413"/>
      <c r="EQ37" s="434"/>
      <c r="ER37" s="434"/>
      <c r="ES37" s="434"/>
      <c r="ET37" s="434"/>
      <c r="EU37" s="434"/>
      <c r="EV37" s="434"/>
      <c r="EW37" s="434"/>
      <c r="EX37" s="434"/>
      <c r="EY37" s="434"/>
      <c r="EZ37" s="434"/>
      <c r="FA37" s="434"/>
      <c r="FB37" s="434"/>
      <c r="FC37" s="399"/>
      <c r="FD37" s="399"/>
      <c r="FE37" s="399"/>
      <c r="FF37" s="399"/>
      <c r="FG37" s="415"/>
      <c r="FH37" s="415"/>
      <c r="FI37" s="415"/>
      <c r="FJ37" s="415"/>
      <c r="FK37" s="415"/>
      <c r="FL37" s="415"/>
      <c r="FM37" s="415"/>
    </row>
    <row r="38" spans="1:169" hidden="1">
      <c r="A38" s="410" t="s">
        <v>217</v>
      </c>
      <c r="B38" s="459" t="s">
        <v>1312</v>
      </c>
      <c r="C38" s="412"/>
      <c r="D38" s="412"/>
      <c r="E38" s="412"/>
      <c r="F38" s="412"/>
      <c r="G38" s="412"/>
      <c r="H38" s="412"/>
      <c r="I38" s="412"/>
      <c r="J38" s="412"/>
      <c r="K38" s="412"/>
      <c r="L38" s="412"/>
      <c r="M38" s="413"/>
      <c r="N38" s="413"/>
      <c r="O38" s="413"/>
      <c r="P38" s="413"/>
      <c r="Q38" s="413"/>
      <c r="R38" s="413"/>
      <c r="S38" s="413"/>
      <c r="T38" s="413"/>
      <c r="U38" s="413"/>
      <c r="V38" s="413"/>
      <c r="W38" s="413"/>
      <c r="X38" s="413"/>
      <c r="Y38" s="413"/>
      <c r="Z38" s="413"/>
      <c r="AA38" s="413"/>
      <c r="AB38" s="413"/>
      <c r="AC38" s="413"/>
      <c r="AD38" s="413"/>
      <c r="AE38" s="413"/>
      <c r="AF38" s="413"/>
      <c r="AG38" s="413"/>
      <c r="AH38" s="413"/>
      <c r="AI38" s="413"/>
      <c r="AJ38" s="413"/>
      <c r="AK38" s="413"/>
      <c r="AL38" s="413"/>
      <c r="AM38" s="413"/>
      <c r="AN38" s="413"/>
      <c r="AO38" s="414"/>
      <c r="AP38" s="413"/>
      <c r="AQ38" s="413"/>
      <c r="AR38" s="413"/>
      <c r="AS38" s="413"/>
      <c r="AT38" s="413"/>
      <c r="AU38" s="413"/>
      <c r="AV38" s="413"/>
      <c r="AW38" s="413"/>
      <c r="AX38" s="413"/>
      <c r="AY38" s="414"/>
      <c r="AZ38" s="413"/>
      <c r="BA38" s="413"/>
      <c r="BB38" s="413"/>
      <c r="BC38" s="413"/>
      <c r="BD38" s="413"/>
      <c r="BE38" s="413"/>
      <c r="BF38" s="413"/>
      <c r="BG38" s="413"/>
      <c r="BH38" s="413"/>
      <c r="BI38" s="414"/>
      <c r="BJ38" s="413"/>
      <c r="BK38" s="413"/>
      <c r="BL38" s="413"/>
      <c r="BM38" s="413"/>
      <c r="BN38" s="413"/>
      <c r="BO38" s="413"/>
      <c r="BP38" s="413"/>
      <c r="BQ38" s="413"/>
      <c r="BR38" s="413"/>
      <c r="BS38" s="413"/>
      <c r="BT38" s="413"/>
      <c r="BU38" s="413"/>
      <c r="BV38" s="413"/>
      <c r="BW38" s="413"/>
      <c r="BX38" s="413"/>
      <c r="BY38" s="413"/>
      <c r="BZ38" s="413"/>
      <c r="CA38" s="413"/>
      <c r="CB38" s="413"/>
      <c r="CC38" s="413"/>
      <c r="CD38" s="413"/>
      <c r="CE38" s="413"/>
      <c r="CF38" s="413"/>
      <c r="CG38" s="413"/>
      <c r="CH38" s="413"/>
      <c r="CI38" s="413"/>
      <c r="CJ38" s="413"/>
      <c r="CK38" s="413"/>
      <c r="CL38" s="413"/>
      <c r="CM38" s="414"/>
      <c r="CN38" s="413"/>
      <c r="CO38" s="413"/>
      <c r="CP38" s="413"/>
      <c r="CQ38" s="413"/>
      <c r="CR38" s="413"/>
      <c r="CS38" s="413"/>
      <c r="CT38" s="413"/>
      <c r="CU38" s="413"/>
      <c r="CV38" s="413"/>
      <c r="CW38" s="414"/>
      <c r="CX38" s="413"/>
      <c r="CY38" s="413"/>
      <c r="CZ38" s="413"/>
      <c r="DA38" s="413"/>
      <c r="DB38" s="413"/>
      <c r="DC38" s="413"/>
      <c r="DD38" s="413"/>
      <c r="DE38" s="413"/>
      <c r="DF38" s="413"/>
      <c r="DG38" s="414"/>
      <c r="DH38" s="413"/>
      <c r="DI38" s="413"/>
      <c r="DJ38" s="413"/>
      <c r="DK38" s="413"/>
      <c r="DL38" s="413"/>
      <c r="DM38" s="413"/>
      <c r="DN38" s="413"/>
      <c r="DO38" s="413"/>
      <c r="DP38" s="413"/>
      <c r="DQ38" s="414"/>
      <c r="DR38" s="413"/>
      <c r="DS38" s="413"/>
      <c r="DT38" s="413"/>
      <c r="DU38" s="413"/>
      <c r="DV38" s="413"/>
      <c r="DW38" s="413"/>
      <c r="DX38" s="413"/>
      <c r="DY38" s="413"/>
      <c r="DZ38" s="413"/>
      <c r="EA38" s="413"/>
      <c r="EB38" s="413"/>
      <c r="EC38" s="413"/>
      <c r="ED38" s="413"/>
      <c r="EE38" s="413"/>
      <c r="EF38" s="413"/>
      <c r="EG38" s="413"/>
      <c r="EH38" s="413"/>
      <c r="EI38" s="413"/>
      <c r="EJ38" s="413"/>
      <c r="EK38" s="413"/>
      <c r="EL38" s="413"/>
      <c r="EM38" s="452"/>
      <c r="EN38" s="413"/>
      <c r="EO38" s="453"/>
      <c r="EP38" s="413"/>
      <c r="EQ38" s="434"/>
      <c r="ER38" s="434"/>
      <c r="ES38" s="434"/>
      <c r="ET38" s="434"/>
      <c r="EU38" s="434"/>
      <c r="EV38" s="434"/>
      <c r="EW38" s="434"/>
      <c r="EX38" s="434"/>
      <c r="EY38" s="434"/>
      <c r="EZ38" s="434"/>
      <c r="FA38" s="434"/>
      <c r="FB38" s="434"/>
      <c r="FC38" s="399"/>
      <c r="FD38" s="399"/>
      <c r="FE38" s="399"/>
      <c r="FF38" s="399"/>
      <c r="FG38" s="415"/>
      <c r="FH38" s="415"/>
      <c r="FI38" s="415"/>
      <c r="FJ38" s="415"/>
      <c r="FK38" s="415"/>
      <c r="FL38" s="415"/>
      <c r="FM38" s="415"/>
    </row>
    <row r="39" spans="1:169" hidden="1">
      <c r="A39" s="410" t="s">
        <v>218</v>
      </c>
      <c r="B39" s="459" t="s">
        <v>1313</v>
      </c>
      <c r="C39" s="412"/>
      <c r="D39" s="412"/>
      <c r="E39" s="412"/>
      <c r="F39" s="412"/>
      <c r="G39" s="412"/>
      <c r="H39" s="412"/>
      <c r="I39" s="412"/>
      <c r="J39" s="412"/>
      <c r="K39" s="412"/>
      <c r="L39" s="412"/>
      <c r="M39" s="413"/>
      <c r="N39" s="413"/>
      <c r="O39" s="413"/>
      <c r="P39" s="413"/>
      <c r="Q39" s="413"/>
      <c r="R39" s="413"/>
      <c r="S39" s="413"/>
      <c r="T39" s="413"/>
      <c r="U39" s="413"/>
      <c r="V39" s="413"/>
      <c r="W39" s="413"/>
      <c r="X39" s="413"/>
      <c r="Y39" s="413"/>
      <c r="Z39" s="413"/>
      <c r="AA39" s="413"/>
      <c r="AB39" s="413"/>
      <c r="AC39" s="413"/>
      <c r="AD39" s="413"/>
      <c r="AE39" s="413"/>
      <c r="AF39" s="413"/>
      <c r="AG39" s="413"/>
      <c r="AH39" s="413"/>
      <c r="AI39" s="413"/>
      <c r="AJ39" s="413"/>
      <c r="AK39" s="413"/>
      <c r="AL39" s="413"/>
      <c r="AM39" s="413"/>
      <c r="AN39" s="413"/>
      <c r="AO39" s="414"/>
      <c r="AP39" s="413"/>
      <c r="AQ39" s="413"/>
      <c r="AR39" s="413"/>
      <c r="AS39" s="413"/>
      <c r="AT39" s="413"/>
      <c r="AU39" s="413"/>
      <c r="AV39" s="413"/>
      <c r="AW39" s="413"/>
      <c r="AX39" s="413"/>
      <c r="AY39" s="414"/>
      <c r="AZ39" s="413"/>
      <c r="BA39" s="413"/>
      <c r="BB39" s="413"/>
      <c r="BC39" s="413"/>
      <c r="BD39" s="413"/>
      <c r="BE39" s="413"/>
      <c r="BF39" s="413"/>
      <c r="BG39" s="413"/>
      <c r="BH39" s="413"/>
      <c r="BI39" s="414"/>
      <c r="BJ39" s="413"/>
      <c r="BK39" s="413"/>
      <c r="BL39" s="413"/>
      <c r="BM39" s="413"/>
      <c r="BN39" s="413"/>
      <c r="BO39" s="413"/>
      <c r="BP39" s="413"/>
      <c r="BQ39" s="413"/>
      <c r="BR39" s="413"/>
      <c r="BS39" s="413"/>
      <c r="BT39" s="413"/>
      <c r="BU39" s="413"/>
      <c r="BV39" s="413"/>
      <c r="BW39" s="413"/>
      <c r="BX39" s="413"/>
      <c r="BY39" s="413"/>
      <c r="BZ39" s="413"/>
      <c r="CA39" s="413"/>
      <c r="CB39" s="413"/>
      <c r="CC39" s="413"/>
      <c r="CD39" s="413"/>
      <c r="CE39" s="413"/>
      <c r="CF39" s="413"/>
      <c r="CG39" s="413"/>
      <c r="CH39" s="413"/>
      <c r="CI39" s="413"/>
      <c r="CJ39" s="413"/>
      <c r="CK39" s="413"/>
      <c r="CL39" s="413"/>
      <c r="CM39" s="414"/>
      <c r="CN39" s="413"/>
      <c r="CO39" s="413"/>
      <c r="CP39" s="413"/>
      <c r="CQ39" s="413"/>
      <c r="CR39" s="413"/>
      <c r="CS39" s="413"/>
      <c r="CT39" s="413"/>
      <c r="CU39" s="413"/>
      <c r="CV39" s="413"/>
      <c r="CW39" s="414"/>
      <c r="CX39" s="413"/>
      <c r="CY39" s="413"/>
      <c r="CZ39" s="413"/>
      <c r="DA39" s="413"/>
      <c r="DB39" s="413"/>
      <c r="DC39" s="413"/>
      <c r="DD39" s="413"/>
      <c r="DE39" s="413"/>
      <c r="DF39" s="413"/>
      <c r="DG39" s="414"/>
      <c r="DH39" s="413"/>
      <c r="DI39" s="413"/>
      <c r="DJ39" s="413"/>
      <c r="DK39" s="413"/>
      <c r="DL39" s="413"/>
      <c r="DM39" s="413"/>
      <c r="DN39" s="413"/>
      <c r="DO39" s="413"/>
      <c r="DP39" s="413"/>
      <c r="DQ39" s="414"/>
      <c r="DR39" s="413"/>
      <c r="DS39" s="413"/>
      <c r="DT39" s="413"/>
      <c r="DU39" s="413"/>
      <c r="DV39" s="413"/>
      <c r="DW39" s="413"/>
      <c r="DX39" s="413"/>
      <c r="DY39" s="413"/>
      <c r="DZ39" s="413"/>
      <c r="EA39" s="413"/>
      <c r="EB39" s="413"/>
      <c r="EC39" s="413"/>
      <c r="ED39" s="413"/>
      <c r="EE39" s="413"/>
      <c r="EF39" s="413"/>
      <c r="EG39" s="413"/>
      <c r="EH39" s="413"/>
      <c r="EI39" s="413"/>
      <c r="EJ39" s="413"/>
      <c r="EK39" s="413"/>
      <c r="EL39" s="413"/>
      <c r="EM39" s="452"/>
      <c r="EN39" s="413"/>
      <c r="EO39" s="453"/>
      <c r="EP39" s="413"/>
      <c r="EQ39" s="434"/>
      <c r="ER39" s="434"/>
      <c r="ES39" s="434"/>
      <c r="ET39" s="434"/>
      <c r="EU39" s="434"/>
      <c r="EV39" s="434"/>
      <c r="EW39" s="434"/>
      <c r="EX39" s="434"/>
      <c r="EY39" s="434"/>
      <c r="EZ39" s="434"/>
      <c r="FA39" s="434"/>
      <c r="FB39" s="434"/>
      <c r="FC39" s="399"/>
      <c r="FD39" s="399"/>
      <c r="FE39" s="399"/>
      <c r="FF39" s="399"/>
      <c r="FG39" s="415"/>
      <c r="FH39" s="415"/>
      <c r="FI39" s="415"/>
      <c r="FJ39" s="415"/>
      <c r="FK39" s="415"/>
      <c r="FL39" s="415"/>
      <c r="FM39" s="415"/>
    </row>
    <row r="40" spans="1:169" hidden="1">
      <c r="A40" s="410" t="s">
        <v>1297</v>
      </c>
      <c r="B40" s="459" t="s">
        <v>1314</v>
      </c>
      <c r="C40" s="412"/>
      <c r="D40" s="412"/>
      <c r="E40" s="412"/>
      <c r="F40" s="412"/>
      <c r="G40" s="412"/>
      <c r="H40" s="412"/>
      <c r="I40" s="412"/>
      <c r="J40" s="412"/>
      <c r="K40" s="412"/>
      <c r="L40" s="412"/>
      <c r="M40" s="413"/>
      <c r="N40" s="413"/>
      <c r="O40" s="413"/>
      <c r="P40" s="413"/>
      <c r="Q40" s="413"/>
      <c r="R40" s="413"/>
      <c r="S40" s="413"/>
      <c r="T40" s="413"/>
      <c r="U40" s="413"/>
      <c r="V40" s="413"/>
      <c r="W40" s="413"/>
      <c r="X40" s="413"/>
      <c r="Y40" s="413"/>
      <c r="Z40" s="413"/>
      <c r="AA40" s="413"/>
      <c r="AB40" s="413"/>
      <c r="AC40" s="413"/>
      <c r="AD40" s="413"/>
      <c r="AE40" s="413"/>
      <c r="AF40" s="413"/>
      <c r="AG40" s="413"/>
      <c r="AH40" s="413"/>
      <c r="AI40" s="413"/>
      <c r="AJ40" s="413"/>
      <c r="AK40" s="413"/>
      <c r="AL40" s="413"/>
      <c r="AM40" s="413"/>
      <c r="AN40" s="413"/>
      <c r="AO40" s="414"/>
      <c r="AP40" s="413"/>
      <c r="AQ40" s="413"/>
      <c r="AR40" s="413"/>
      <c r="AS40" s="413"/>
      <c r="AT40" s="413"/>
      <c r="AU40" s="413"/>
      <c r="AV40" s="413"/>
      <c r="AW40" s="413"/>
      <c r="AX40" s="413"/>
      <c r="AY40" s="414"/>
      <c r="AZ40" s="413"/>
      <c r="BA40" s="413"/>
      <c r="BB40" s="413"/>
      <c r="BC40" s="413"/>
      <c r="BD40" s="413"/>
      <c r="BE40" s="413"/>
      <c r="BF40" s="413"/>
      <c r="BG40" s="413"/>
      <c r="BH40" s="413"/>
      <c r="BI40" s="414"/>
      <c r="BJ40" s="413"/>
      <c r="BK40" s="413"/>
      <c r="BL40" s="413"/>
      <c r="BM40" s="413"/>
      <c r="BN40" s="413"/>
      <c r="BO40" s="413"/>
      <c r="BP40" s="413"/>
      <c r="BQ40" s="413"/>
      <c r="BR40" s="413"/>
      <c r="BS40" s="413"/>
      <c r="BT40" s="413"/>
      <c r="BU40" s="413"/>
      <c r="BV40" s="413"/>
      <c r="BW40" s="413"/>
      <c r="BX40" s="413"/>
      <c r="BY40" s="413"/>
      <c r="BZ40" s="413"/>
      <c r="CA40" s="413"/>
      <c r="CB40" s="413"/>
      <c r="CC40" s="413"/>
      <c r="CD40" s="413"/>
      <c r="CE40" s="413"/>
      <c r="CF40" s="413"/>
      <c r="CG40" s="413"/>
      <c r="CH40" s="413"/>
      <c r="CI40" s="413"/>
      <c r="CJ40" s="413"/>
      <c r="CK40" s="413"/>
      <c r="CL40" s="413"/>
      <c r="CM40" s="414"/>
      <c r="CN40" s="413"/>
      <c r="CO40" s="413"/>
      <c r="CP40" s="413"/>
      <c r="CQ40" s="413"/>
      <c r="CR40" s="413"/>
      <c r="CS40" s="413"/>
      <c r="CT40" s="413"/>
      <c r="CU40" s="413"/>
      <c r="CV40" s="413"/>
      <c r="CW40" s="414"/>
      <c r="CX40" s="413"/>
      <c r="CY40" s="413"/>
      <c r="CZ40" s="413"/>
      <c r="DA40" s="413"/>
      <c r="DB40" s="413"/>
      <c r="DC40" s="413"/>
      <c r="DD40" s="413"/>
      <c r="DE40" s="413"/>
      <c r="DF40" s="413"/>
      <c r="DG40" s="414"/>
      <c r="DH40" s="413"/>
      <c r="DI40" s="413"/>
      <c r="DJ40" s="413"/>
      <c r="DK40" s="413"/>
      <c r="DL40" s="413"/>
      <c r="DM40" s="413"/>
      <c r="DN40" s="413"/>
      <c r="DO40" s="413"/>
      <c r="DP40" s="413"/>
      <c r="DQ40" s="414"/>
      <c r="DR40" s="413"/>
      <c r="DS40" s="413"/>
      <c r="DT40" s="413"/>
      <c r="DU40" s="413"/>
      <c r="DV40" s="413"/>
      <c r="DW40" s="413"/>
      <c r="DX40" s="413"/>
      <c r="DY40" s="413"/>
      <c r="DZ40" s="413"/>
      <c r="EA40" s="413"/>
      <c r="EB40" s="413"/>
      <c r="EC40" s="413"/>
      <c r="ED40" s="413"/>
      <c r="EE40" s="413"/>
      <c r="EF40" s="413"/>
      <c r="EG40" s="413"/>
      <c r="EH40" s="413"/>
      <c r="EI40" s="413"/>
      <c r="EJ40" s="413"/>
      <c r="EK40" s="413"/>
      <c r="EL40" s="413"/>
      <c r="EM40" s="452"/>
      <c r="EN40" s="413"/>
      <c r="EO40" s="453"/>
      <c r="EP40" s="413"/>
      <c r="EQ40" s="434"/>
      <c r="ER40" s="434"/>
      <c r="ES40" s="434"/>
      <c r="ET40" s="434"/>
      <c r="EU40" s="434"/>
      <c r="EV40" s="434"/>
      <c r="EW40" s="434"/>
      <c r="EX40" s="434"/>
      <c r="EY40" s="434"/>
      <c r="EZ40" s="434"/>
      <c r="FA40" s="434"/>
      <c r="FB40" s="434"/>
      <c r="FC40" s="399"/>
      <c r="FD40" s="399"/>
      <c r="FE40" s="399"/>
      <c r="FF40" s="399"/>
      <c r="FG40" s="415"/>
      <c r="FH40" s="415"/>
      <c r="FI40" s="415"/>
      <c r="FJ40" s="415"/>
      <c r="FK40" s="415"/>
      <c r="FL40" s="415"/>
      <c r="FM40" s="415"/>
    </row>
    <row r="41" spans="1:169" hidden="1">
      <c r="A41" s="410" t="s">
        <v>1298</v>
      </c>
      <c r="B41" s="459" t="s">
        <v>1315</v>
      </c>
      <c r="C41" s="412"/>
      <c r="D41" s="412"/>
      <c r="E41" s="412"/>
      <c r="F41" s="412"/>
      <c r="G41" s="412"/>
      <c r="H41" s="412"/>
      <c r="I41" s="412"/>
      <c r="J41" s="412"/>
      <c r="K41" s="412"/>
      <c r="L41" s="412"/>
      <c r="M41" s="413"/>
      <c r="N41" s="413"/>
      <c r="O41" s="413"/>
      <c r="P41" s="413"/>
      <c r="Q41" s="413"/>
      <c r="R41" s="413"/>
      <c r="S41" s="413"/>
      <c r="T41" s="413"/>
      <c r="U41" s="413"/>
      <c r="V41" s="413"/>
      <c r="W41" s="413"/>
      <c r="X41" s="413"/>
      <c r="Y41" s="413"/>
      <c r="Z41" s="413"/>
      <c r="AA41" s="413"/>
      <c r="AB41" s="413"/>
      <c r="AC41" s="413"/>
      <c r="AD41" s="413"/>
      <c r="AE41" s="413"/>
      <c r="AF41" s="413"/>
      <c r="AG41" s="413"/>
      <c r="AH41" s="413"/>
      <c r="AI41" s="413"/>
      <c r="AJ41" s="413"/>
      <c r="AK41" s="413"/>
      <c r="AL41" s="413"/>
      <c r="AM41" s="413"/>
      <c r="AN41" s="413"/>
      <c r="AO41" s="414"/>
      <c r="AP41" s="413"/>
      <c r="AQ41" s="413"/>
      <c r="AR41" s="413"/>
      <c r="AS41" s="413"/>
      <c r="AT41" s="413"/>
      <c r="AU41" s="413"/>
      <c r="AV41" s="413"/>
      <c r="AW41" s="413"/>
      <c r="AX41" s="413"/>
      <c r="AY41" s="414"/>
      <c r="AZ41" s="413"/>
      <c r="BA41" s="413"/>
      <c r="BB41" s="413"/>
      <c r="BC41" s="413"/>
      <c r="BD41" s="413"/>
      <c r="BE41" s="413"/>
      <c r="BF41" s="413"/>
      <c r="BG41" s="413"/>
      <c r="BH41" s="413"/>
      <c r="BI41" s="414"/>
      <c r="BJ41" s="413"/>
      <c r="BK41" s="413"/>
      <c r="BL41" s="413"/>
      <c r="BM41" s="413"/>
      <c r="BN41" s="413"/>
      <c r="BO41" s="413"/>
      <c r="BP41" s="413"/>
      <c r="BQ41" s="413"/>
      <c r="BR41" s="413"/>
      <c r="BS41" s="413"/>
      <c r="BT41" s="413"/>
      <c r="BU41" s="413"/>
      <c r="BV41" s="413"/>
      <c r="BW41" s="413"/>
      <c r="BX41" s="413"/>
      <c r="BY41" s="413"/>
      <c r="BZ41" s="413"/>
      <c r="CA41" s="413"/>
      <c r="CB41" s="413"/>
      <c r="CC41" s="413"/>
      <c r="CD41" s="413"/>
      <c r="CE41" s="413"/>
      <c r="CF41" s="413"/>
      <c r="CG41" s="413"/>
      <c r="CH41" s="413"/>
      <c r="CI41" s="413"/>
      <c r="CJ41" s="413"/>
      <c r="CK41" s="413"/>
      <c r="CL41" s="413"/>
      <c r="CM41" s="414"/>
      <c r="CN41" s="413"/>
      <c r="CO41" s="413"/>
      <c r="CP41" s="413"/>
      <c r="CQ41" s="413"/>
      <c r="CR41" s="413"/>
      <c r="CS41" s="413"/>
      <c r="CT41" s="413"/>
      <c r="CU41" s="413"/>
      <c r="CV41" s="413"/>
      <c r="CW41" s="414"/>
      <c r="CX41" s="413"/>
      <c r="CY41" s="413"/>
      <c r="CZ41" s="413"/>
      <c r="DA41" s="413"/>
      <c r="DB41" s="413"/>
      <c r="DC41" s="413"/>
      <c r="DD41" s="413"/>
      <c r="DE41" s="413"/>
      <c r="DF41" s="413"/>
      <c r="DG41" s="414"/>
      <c r="DH41" s="413"/>
      <c r="DI41" s="413"/>
      <c r="DJ41" s="413"/>
      <c r="DK41" s="413"/>
      <c r="DL41" s="413"/>
      <c r="DM41" s="413"/>
      <c r="DN41" s="413"/>
      <c r="DO41" s="413"/>
      <c r="DP41" s="413"/>
      <c r="DQ41" s="414"/>
      <c r="DR41" s="413"/>
      <c r="DS41" s="413"/>
      <c r="DT41" s="413"/>
      <c r="DU41" s="413"/>
      <c r="DV41" s="413"/>
      <c r="DW41" s="413"/>
      <c r="DX41" s="413"/>
      <c r="DY41" s="413"/>
      <c r="DZ41" s="413"/>
      <c r="EA41" s="413"/>
      <c r="EB41" s="413"/>
      <c r="EC41" s="413"/>
      <c r="ED41" s="413"/>
      <c r="EE41" s="413"/>
      <c r="EF41" s="413"/>
      <c r="EG41" s="413"/>
      <c r="EH41" s="413"/>
      <c r="EI41" s="413"/>
      <c r="EJ41" s="413"/>
      <c r="EK41" s="413"/>
      <c r="EL41" s="413"/>
      <c r="EM41" s="452"/>
      <c r="EN41" s="413"/>
      <c r="EO41" s="453"/>
      <c r="EP41" s="413"/>
      <c r="EQ41" s="434"/>
      <c r="ER41" s="434"/>
      <c r="ES41" s="434"/>
      <c r="ET41" s="434"/>
      <c r="EU41" s="434"/>
      <c r="EV41" s="434"/>
      <c r="EW41" s="434"/>
      <c r="EX41" s="434"/>
      <c r="EY41" s="434"/>
      <c r="EZ41" s="434"/>
      <c r="FA41" s="434"/>
      <c r="FB41" s="434"/>
      <c r="FC41" s="399"/>
      <c r="FD41" s="399"/>
      <c r="FE41" s="399"/>
      <c r="FF41" s="399"/>
      <c r="FG41" s="415"/>
      <c r="FH41" s="415"/>
      <c r="FI41" s="415"/>
      <c r="FJ41" s="415"/>
      <c r="FK41" s="415"/>
      <c r="FL41" s="415"/>
      <c r="FM41" s="415"/>
    </row>
    <row r="42" spans="1:169" hidden="1">
      <c r="A42" s="410" t="s">
        <v>1299</v>
      </c>
      <c r="B42" s="459" t="s">
        <v>1316</v>
      </c>
      <c r="C42" s="412"/>
      <c r="D42" s="412"/>
      <c r="E42" s="412"/>
      <c r="F42" s="412"/>
      <c r="G42" s="412"/>
      <c r="H42" s="412"/>
      <c r="I42" s="412"/>
      <c r="J42" s="412"/>
      <c r="K42" s="412"/>
      <c r="L42" s="412"/>
      <c r="M42" s="413"/>
      <c r="N42" s="413"/>
      <c r="O42" s="413"/>
      <c r="P42" s="413"/>
      <c r="Q42" s="413"/>
      <c r="R42" s="413"/>
      <c r="S42" s="413"/>
      <c r="T42" s="413"/>
      <c r="U42" s="413"/>
      <c r="V42" s="413"/>
      <c r="W42" s="413"/>
      <c r="X42" s="413"/>
      <c r="Y42" s="413"/>
      <c r="Z42" s="413"/>
      <c r="AA42" s="413"/>
      <c r="AB42" s="413"/>
      <c r="AC42" s="413"/>
      <c r="AD42" s="413"/>
      <c r="AE42" s="413"/>
      <c r="AF42" s="413"/>
      <c r="AG42" s="413"/>
      <c r="AH42" s="413"/>
      <c r="AI42" s="413"/>
      <c r="AJ42" s="413"/>
      <c r="AK42" s="413"/>
      <c r="AL42" s="413"/>
      <c r="AM42" s="413"/>
      <c r="AN42" s="413"/>
      <c r="AO42" s="414"/>
      <c r="AP42" s="413"/>
      <c r="AQ42" s="413"/>
      <c r="AR42" s="413"/>
      <c r="AS42" s="413"/>
      <c r="AT42" s="413"/>
      <c r="AU42" s="413"/>
      <c r="AV42" s="413"/>
      <c r="AW42" s="413"/>
      <c r="AX42" s="413"/>
      <c r="AY42" s="414"/>
      <c r="AZ42" s="413"/>
      <c r="BA42" s="413"/>
      <c r="BB42" s="413"/>
      <c r="BC42" s="413"/>
      <c r="BD42" s="413"/>
      <c r="BE42" s="413"/>
      <c r="BF42" s="413"/>
      <c r="BG42" s="413"/>
      <c r="BH42" s="413"/>
      <c r="BI42" s="414"/>
      <c r="BJ42" s="413"/>
      <c r="BK42" s="413"/>
      <c r="BL42" s="413"/>
      <c r="BM42" s="413"/>
      <c r="BN42" s="413"/>
      <c r="BO42" s="413"/>
      <c r="BP42" s="413"/>
      <c r="BQ42" s="413"/>
      <c r="BR42" s="413"/>
      <c r="BS42" s="413"/>
      <c r="BT42" s="413"/>
      <c r="BU42" s="413"/>
      <c r="BV42" s="413"/>
      <c r="BW42" s="413"/>
      <c r="BX42" s="413"/>
      <c r="BY42" s="413"/>
      <c r="BZ42" s="413"/>
      <c r="CA42" s="413"/>
      <c r="CB42" s="413"/>
      <c r="CC42" s="413"/>
      <c r="CD42" s="413"/>
      <c r="CE42" s="413"/>
      <c r="CF42" s="413"/>
      <c r="CG42" s="413"/>
      <c r="CH42" s="413"/>
      <c r="CI42" s="413"/>
      <c r="CJ42" s="413"/>
      <c r="CK42" s="413"/>
      <c r="CL42" s="413"/>
      <c r="CM42" s="414"/>
      <c r="CN42" s="413"/>
      <c r="CO42" s="413"/>
      <c r="CP42" s="413"/>
      <c r="CQ42" s="413"/>
      <c r="CR42" s="413"/>
      <c r="CS42" s="413"/>
      <c r="CT42" s="413"/>
      <c r="CU42" s="413"/>
      <c r="CV42" s="413"/>
      <c r="CW42" s="414"/>
      <c r="CX42" s="413"/>
      <c r="CY42" s="413"/>
      <c r="CZ42" s="413"/>
      <c r="DA42" s="413"/>
      <c r="DB42" s="413"/>
      <c r="DC42" s="413"/>
      <c r="DD42" s="413"/>
      <c r="DE42" s="413"/>
      <c r="DF42" s="413"/>
      <c r="DG42" s="414"/>
      <c r="DH42" s="413"/>
      <c r="DI42" s="413"/>
      <c r="DJ42" s="413"/>
      <c r="DK42" s="413"/>
      <c r="DL42" s="413"/>
      <c r="DM42" s="413"/>
      <c r="DN42" s="413"/>
      <c r="DO42" s="413"/>
      <c r="DP42" s="413"/>
      <c r="DQ42" s="414"/>
      <c r="DR42" s="413"/>
      <c r="DS42" s="413"/>
      <c r="DT42" s="413"/>
      <c r="DU42" s="413"/>
      <c r="DV42" s="413"/>
      <c r="DW42" s="413"/>
      <c r="DX42" s="413"/>
      <c r="DY42" s="413"/>
      <c r="DZ42" s="413"/>
      <c r="EA42" s="413"/>
      <c r="EB42" s="413"/>
      <c r="EC42" s="413"/>
      <c r="ED42" s="413"/>
      <c r="EE42" s="413"/>
      <c r="EF42" s="413"/>
      <c r="EG42" s="413"/>
      <c r="EH42" s="413"/>
      <c r="EI42" s="413"/>
      <c r="EJ42" s="413"/>
      <c r="EK42" s="413"/>
      <c r="EL42" s="413"/>
      <c r="EM42" s="452"/>
      <c r="EN42" s="413"/>
      <c r="EO42" s="453"/>
      <c r="EP42" s="413"/>
      <c r="EQ42" s="434"/>
      <c r="ER42" s="434"/>
      <c r="ES42" s="434"/>
      <c r="ET42" s="434"/>
      <c r="EU42" s="434"/>
      <c r="EV42" s="434"/>
      <c r="EW42" s="434"/>
      <c r="EX42" s="434"/>
      <c r="EY42" s="434"/>
      <c r="EZ42" s="434"/>
      <c r="FA42" s="434"/>
      <c r="FB42" s="434"/>
      <c r="FC42" s="399"/>
      <c r="FD42" s="399"/>
      <c r="FE42" s="399"/>
      <c r="FF42" s="399"/>
      <c r="FG42" s="415"/>
      <c r="FH42" s="415"/>
      <c r="FI42" s="415"/>
      <c r="FJ42" s="415"/>
      <c r="FK42" s="415"/>
      <c r="FL42" s="415"/>
      <c r="FM42" s="415"/>
    </row>
    <row r="43" spans="1:169" hidden="1">
      <c r="A43" s="410" t="s">
        <v>1300</v>
      </c>
      <c r="B43" s="459" t="s">
        <v>1317</v>
      </c>
      <c r="C43" s="412"/>
      <c r="D43" s="412"/>
      <c r="E43" s="412"/>
      <c r="F43" s="412"/>
      <c r="G43" s="412"/>
      <c r="H43" s="412"/>
      <c r="I43" s="412"/>
      <c r="J43" s="412"/>
      <c r="K43" s="412"/>
      <c r="L43" s="412"/>
      <c r="M43" s="413"/>
      <c r="N43" s="413"/>
      <c r="O43" s="413"/>
      <c r="P43" s="413"/>
      <c r="Q43" s="413"/>
      <c r="R43" s="413"/>
      <c r="S43" s="413"/>
      <c r="T43" s="413"/>
      <c r="U43" s="413"/>
      <c r="V43" s="413"/>
      <c r="W43" s="413"/>
      <c r="X43" s="413"/>
      <c r="Y43" s="413"/>
      <c r="Z43" s="413"/>
      <c r="AA43" s="413"/>
      <c r="AB43" s="413"/>
      <c r="AC43" s="413"/>
      <c r="AD43" s="413"/>
      <c r="AE43" s="413"/>
      <c r="AF43" s="413"/>
      <c r="AG43" s="413"/>
      <c r="AH43" s="413"/>
      <c r="AI43" s="413"/>
      <c r="AJ43" s="413"/>
      <c r="AK43" s="413"/>
      <c r="AL43" s="413"/>
      <c r="AM43" s="413"/>
      <c r="AN43" s="413"/>
      <c r="AO43" s="414"/>
      <c r="AP43" s="413"/>
      <c r="AQ43" s="413"/>
      <c r="AR43" s="413"/>
      <c r="AS43" s="413"/>
      <c r="AT43" s="413"/>
      <c r="AU43" s="413"/>
      <c r="AV43" s="413"/>
      <c r="AW43" s="413"/>
      <c r="AX43" s="413"/>
      <c r="AY43" s="414"/>
      <c r="AZ43" s="413"/>
      <c r="BA43" s="413"/>
      <c r="BB43" s="413"/>
      <c r="BC43" s="413"/>
      <c r="BD43" s="413"/>
      <c r="BE43" s="413"/>
      <c r="BF43" s="413"/>
      <c r="BG43" s="413"/>
      <c r="BH43" s="413"/>
      <c r="BI43" s="414"/>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F43" s="413"/>
      <c r="CG43" s="413"/>
      <c r="CH43" s="413"/>
      <c r="CI43" s="413"/>
      <c r="CJ43" s="413"/>
      <c r="CK43" s="413"/>
      <c r="CL43" s="413"/>
      <c r="CM43" s="414"/>
      <c r="CN43" s="413"/>
      <c r="CO43" s="413"/>
      <c r="CP43" s="413"/>
      <c r="CQ43" s="413"/>
      <c r="CR43" s="413"/>
      <c r="CS43" s="413"/>
      <c r="CT43" s="413"/>
      <c r="CU43" s="413"/>
      <c r="CV43" s="413"/>
      <c r="CW43" s="414"/>
      <c r="CX43" s="413"/>
      <c r="CY43" s="413"/>
      <c r="CZ43" s="413"/>
      <c r="DA43" s="413"/>
      <c r="DB43" s="413"/>
      <c r="DC43" s="413"/>
      <c r="DD43" s="413"/>
      <c r="DE43" s="413"/>
      <c r="DF43" s="413"/>
      <c r="DG43" s="414"/>
      <c r="DH43" s="413"/>
      <c r="DI43" s="413"/>
      <c r="DJ43" s="413"/>
      <c r="DK43" s="413"/>
      <c r="DL43" s="413"/>
      <c r="DM43" s="413"/>
      <c r="DN43" s="413"/>
      <c r="DO43" s="413"/>
      <c r="DP43" s="413"/>
      <c r="DQ43" s="414"/>
      <c r="DR43" s="413"/>
      <c r="DS43" s="413"/>
      <c r="DT43" s="413"/>
      <c r="DU43" s="413"/>
      <c r="DV43" s="413"/>
      <c r="DW43" s="413"/>
      <c r="DX43" s="413"/>
      <c r="DY43" s="413"/>
      <c r="DZ43" s="413"/>
      <c r="EA43" s="413"/>
      <c r="EB43" s="413"/>
      <c r="EC43" s="413"/>
      <c r="ED43" s="413"/>
      <c r="EE43" s="413"/>
      <c r="EF43" s="413"/>
      <c r="EG43" s="413"/>
      <c r="EH43" s="413"/>
      <c r="EI43" s="413"/>
      <c r="EJ43" s="413"/>
      <c r="EK43" s="413"/>
      <c r="EL43" s="413"/>
      <c r="EM43" s="452"/>
      <c r="EN43" s="413"/>
      <c r="EO43" s="453"/>
      <c r="EP43" s="413"/>
      <c r="EQ43" s="434"/>
      <c r="ER43" s="434"/>
      <c r="ES43" s="434"/>
      <c r="ET43" s="434"/>
      <c r="EU43" s="434"/>
      <c r="EV43" s="434"/>
      <c r="EW43" s="434"/>
      <c r="EX43" s="434"/>
      <c r="EY43" s="434"/>
      <c r="EZ43" s="434"/>
      <c r="FA43" s="434"/>
      <c r="FB43" s="434"/>
      <c r="FC43" s="399"/>
      <c r="FD43" s="399"/>
      <c r="FE43" s="399"/>
      <c r="FF43" s="399"/>
      <c r="FG43" s="415"/>
      <c r="FH43" s="415"/>
      <c r="FI43" s="415"/>
      <c r="FJ43" s="415"/>
      <c r="FK43" s="415"/>
      <c r="FL43" s="415"/>
      <c r="FM43" s="415"/>
    </row>
    <row r="44" spans="1:169" hidden="1">
      <c r="A44" s="410" t="s">
        <v>1319</v>
      </c>
      <c r="B44" s="459" t="s">
        <v>1318</v>
      </c>
      <c r="C44" s="412"/>
      <c r="D44" s="412"/>
      <c r="E44" s="412"/>
      <c r="F44" s="412"/>
      <c r="G44" s="412"/>
      <c r="H44" s="412"/>
      <c r="I44" s="412"/>
      <c r="J44" s="412"/>
      <c r="K44" s="412"/>
      <c r="L44" s="412"/>
      <c r="M44" s="413"/>
      <c r="N44" s="413"/>
      <c r="O44" s="413"/>
      <c r="P44" s="413"/>
      <c r="Q44" s="413"/>
      <c r="R44" s="413"/>
      <c r="S44" s="413"/>
      <c r="T44" s="413"/>
      <c r="U44" s="413"/>
      <c r="V44" s="413"/>
      <c r="W44" s="413"/>
      <c r="X44" s="413"/>
      <c r="Y44" s="413"/>
      <c r="Z44" s="413"/>
      <c r="AA44" s="413"/>
      <c r="AB44" s="413"/>
      <c r="AC44" s="413"/>
      <c r="AD44" s="413"/>
      <c r="AE44" s="413"/>
      <c r="AF44" s="413"/>
      <c r="AG44" s="413"/>
      <c r="AH44" s="413"/>
      <c r="AI44" s="413"/>
      <c r="AJ44" s="413"/>
      <c r="AK44" s="413"/>
      <c r="AL44" s="413"/>
      <c r="AM44" s="413"/>
      <c r="AN44" s="413"/>
      <c r="AO44" s="414"/>
      <c r="AP44" s="413"/>
      <c r="AQ44" s="413"/>
      <c r="AR44" s="413"/>
      <c r="AS44" s="413"/>
      <c r="AT44" s="413"/>
      <c r="AU44" s="413"/>
      <c r="AV44" s="413"/>
      <c r="AW44" s="413"/>
      <c r="AX44" s="413"/>
      <c r="AY44" s="414"/>
      <c r="AZ44" s="413"/>
      <c r="BA44" s="413"/>
      <c r="BB44" s="413"/>
      <c r="BC44" s="413"/>
      <c r="BD44" s="413"/>
      <c r="BE44" s="413"/>
      <c r="BF44" s="413"/>
      <c r="BG44" s="413"/>
      <c r="BH44" s="413"/>
      <c r="BI44" s="414"/>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F44" s="413"/>
      <c r="CG44" s="413"/>
      <c r="CH44" s="413"/>
      <c r="CI44" s="413"/>
      <c r="CJ44" s="413"/>
      <c r="CK44" s="413"/>
      <c r="CL44" s="413"/>
      <c r="CM44" s="414"/>
      <c r="CN44" s="413"/>
      <c r="CO44" s="413"/>
      <c r="CP44" s="413"/>
      <c r="CQ44" s="413"/>
      <c r="CR44" s="413"/>
      <c r="CS44" s="413"/>
      <c r="CT44" s="413"/>
      <c r="CU44" s="413"/>
      <c r="CV44" s="413"/>
      <c r="CW44" s="414"/>
      <c r="CX44" s="413"/>
      <c r="CY44" s="413"/>
      <c r="CZ44" s="413"/>
      <c r="DA44" s="413"/>
      <c r="DB44" s="413"/>
      <c r="DC44" s="413"/>
      <c r="DD44" s="413"/>
      <c r="DE44" s="413"/>
      <c r="DF44" s="413"/>
      <c r="DG44" s="414"/>
      <c r="DH44" s="413"/>
      <c r="DI44" s="413"/>
      <c r="DJ44" s="413"/>
      <c r="DK44" s="413"/>
      <c r="DL44" s="413"/>
      <c r="DM44" s="413"/>
      <c r="DN44" s="413"/>
      <c r="DO44" s="413"/>
      <c r="DP44" s="413"/>
      <c r="DQ44" s="414"/>
      <c r="DR44" s="413"/>
      <c r="DS44" s="413"/>
      <c r="DT44" s="413"/>
      <c r="DU44" s="413"/>
      <c r="DV44" s="413"/>
      <c r="DW44" s="413"/>
      <c r="DX44" s="413"/>
      <c r="DY44" s="413"/>
      <c r="DZ44" s="413"/>
      <c r="EA44" s="413"/>
      <c r="EB44" s="413"/>
      <c r="EC44" s="413"/>
      <c r="ED44" s="413"/>
      <c r="EE44" s="413"/>
      <c r="EF44" s="413"/>
      <c r="EG44" s="413"/>
      <c r="EH44" s="413"/>
      <c r="EI44" s="413"/>
      <c r="EJ44" s="413"/>
      <c r="EK44" s="413"/>
      <c r="EL44" s="413"/>
      <c r="EM44" s="452"/>
      <c r="EN44" s="413"/>
      <c r="EO44" s="453"/>
      <c r="EP44" s="413"/>
      <c r="EQ44" s="434"/>
      <c r="ER44" s="434"/>
      <c r="ES44" s="434"/>
      <c r="ET44" s="434"/>
      <c r="EU44" s="434"/>
      <c r="EV44" s="434"/>
      <c r="EW44" s="434"/>
      <c r="EX44" s="434"/>
      <c r="EY44" s="434"/>
      <c r="EZ44" s="434"/>
      <c r="FA44" s="434"/>
      <c r="FB44" s="434"/>
      <c r="FC44" s="399"/>
      <c r="FD44" s="399"/>
      <c r="FE44" s="399"/>
      <c r="FF44" s="399"/>
      <c r="FG44" s="415"/>
      <c r="FH44" s="415"/>
      <c r="FI44" s="415"/>
      <c r="FJ44" s="415"/>
      <c r="FK44" s="415"/>
      <c r="FL44" s="415"/>
      <c r="FM44" s="415"/>
    </row>
    <row r="45" spans="1:169" hidden="1">
      <c r="A45" s="410" t="s">
        <v>1321</v>
      </c>
      <c r="B45" s="459"/>
      <c r="C45" s="412"/>
      <c r="D45" s="412"/>
      <c r="E45" s="412"/>
      <c r="F45" s="412"/>
      <c r="G45" s="412"/>
      <c r="H45" s="412"/>
      <c r="I45" s="412"/>
      <c r="J45" s="412"/>
      <c r="K45" s="412"/>
      <c r="L45" s="412"/>
      <c r="M45" s="413"/>
      <c r="N45" s="413"/>
      <c r="O45" s="413"/>
      <c r="P45" s="413"/>
      <c r="Q45" s="413"/>
      <c r="R45" s="413"/>
      <c r="S45" s="413"/>
      <c r="T45" s="413"/>
      <c r="U45" s="413"/>
      <c r="V45" s="413"/>
      <c r="W45" s="413"/>
      <c r="X45" s="413"/>
      <c r="Y45" s="413"/>
      <c r="Z45" s="413"/>
      <c r="AA45" s="413"/>
      <c r="AB45" s="413"/>
      <c r="AC45" s="413"/>
      <c r="AD45" s="413"/>
      <c r="AE45" s="413"/>
      <c r="AF45" s="413"/>
      <c r="AG45" s="413"/>
      <c r="AH45" s="413"/>
      <c r="AI45" s="413"/>
      <c r="AJ45" s="413"/>
      <c r="AK45" s="413"/>
      <c r="AL45" s="413"/>
      <c r="AM45" s="413"/>
      <c r="AN45" s="413"/>
      <c r="AO45" s="414"/>
      <c r="AP45" s="413"/>
      <c r="AQ45" s="413"/>
      <c r="AR45" s="413"/>
      <c r="AS45" s="413"/>
      <c r="AT45" s="413"/>
      <c r="AU45" s="413"/>
      <c r="AV45" s="413"/>
      <c r="AW45" s="413"/>
      <c r="AX45" s="413"/>
      <c r="AY45" s="414"/>
      <c r="AZ45" s="413"/>
      <c r="BA45" s="413"/>
      <c r="BB45" s="413"/>
      <c r="BC45" s="413"/>
      <c r="BD45" s="413"/>
      <c r="BE45" s="413"/>
      <c r="BF45" s="413"/>
      <c r="BG45" s="413"/>
      <c r="BH45" s="413"/>
      <c r="BI45" s="414"/>
      <c r="BJ45" s="413"/>
      <c r="BK45" s="413"/>
      <c r="BL45" s="413"/>
      <c r="BM45" s="413"/>
      <c r="BN45" s="413"/>
      <c r="BO45" s="413"/>
      <c r="BP45" s="413"/>
      <c r="BQ45" s="413"/>
      <c r="BR45" s="413"/>
      <c r="BS45" s="413"/>
      <c r="BT45" s="413"/>
      <c r="BU45" s="413"/>
      <c r="BV45" s="413"/>
      <c r="BW45" s="413"/>
      <c r="BX45" s="413"/>
      <c r="BY45" s="413"/>
      <c r="BZ45" s="413"/>
      <c r="CA45" s="413"/>
      <c r="CB45" s="413"/>
      <c r="CC45" s="413"/>
      <c r="CD45" s="413"/>
      <c r="CE45" s="413"/>
      <c r="CF45" s="413"/>
      <c r="CG45" s="413"/>
      <c r="CH45" s="413"/>
      <c r="CI45" s="413"/>
      <c r="CJ45" s="413"/>
      <c r="CK45" s="413"/>
      <c r="CL45" s="413"/>
      <c r="CM45" s="414"/>
      <c r="CN45" s="413"/>
      <c r="CO45" s="413"/>
      <c r="CP45" s="413"/>
      <c r="CQ45" s="413"/>
      <c r="CR45" s="413"/>
      <c r="CS45" s="413"/>
      <c r="CT45" s="413"/>
      <c r="CU45" s="413"/>
      <c r="CV45" s="413"/>
      <c r="CW45" s="414"/>
      <c r="CX45" s="413"/>
      <c r="CY45" s="413"/>
      <c r="CZ45" s="413"/>
      <c r="DA45" s="413"/>
      <c r="DB45" s="413"/>
      <c r="DC45" s="413"/>
      <c r="DD45" s="413"/>
      <c r="DE45" s="413"/>
      <c r="DF45" s="413"/>
      <c r="DG45" s="414"/>
      <c r="DH45" s="413"/>
      <c r="DI45" s="413"/>
      <c r="DJ45" s="413"/>
      <c r="DK45" s="413"/>
      <c r="DL45" s="413"/>
      <c r="DM45" s="413"/>
      <c r="DN45" s="413"/>
      <c r="DO45" s="413"/>
      <c r="DP45" s="413"/>
      <c r="DQ45" s="414"/>
      <c r="DR45" s="413"/>
      <c r="DS45" s="413"/>
      <c r="DT45" s="413"/>
      <c r="DU45" s="413"/>
      <c r="DV45" s="413"/>
      <c r="DW45" s="413"/>
      <c r="DX45" s="413"/>
      <c r="DY45" s="413"/>
      <c r="DZ45" s="413"/>
      <c r="EA45" s="413"/>
      <c r="EB45" s="413"/>
      <c r="EC45" s="413"/>
      <c r="ED45" s="413"/>
      <c r="EE45" s="413"/>
      <c r="EF45" s="413"/>
      <c r="EG45" s="413"/>
      <c r="EH45" s="413"/>
      <c r="EI45" s="413"/>
      <c r="EJ45" s="413"/>
      <c r="EK45" s="413"/>
      <c r="EL45" s="413"/>
      <c r="EM45" s="452"/>
      <c r="EN45" s="413"/>
      <c r="EO45" s="453"/>
      <c r="EP45" s="413"/>
      <c r="EQ45" s="434"/>
      <c r="ER45" s="434"/>
      <c r="ES45" s="434"/>
      <c r="ET45" s="434"/>
      <c r="EU45" s="434"/>
      <c r="EV45" s="434"/>
      <c r="EW45" s="434"/>
      <c r="EX45" s="434"/>
      <c r="EY45" s="434"/>
      <c r="EZ45" s="434"/>
      <c r="FA45" s="434"/>
      <c r="FB45" s="434"/>
      <c r="FC45" s="399"/>
      <c r="FD45" s="399"/>
      <c r="FE45" s="399"/>
      <c r="FF45" s="399"/>
      <c r="FG45" s="415"/>
      <c r="FH45" s="415"/>
      <c r="FI45" s="415"/>
      <c r="FJ45" s="415"/>
      <c r="FK45" s="415"/>
      <c r="FL45" s="415"/>
      <c r="FM45" s="415"/>
    </row>
    <row r="46" spans="1:169" hidden="1">
      <c r="A46" s="410"/>
      <c r="B46" s="459" t="s">
        <v>672</v>
      </c>
      <c r="C46" s="412"/>
      <c r="D46" s="412"/>
      <c r="E46" s="412"/>
      <c r="F46" s="412"/>
      <c r="G46" s="412"/>
      <c r="H46" s="412"/>
      <c r="I46" s="412"/>
      <c r="J46" s="412"/>
      <c r="K46" s="412"/>
      <c r="L46" s="412"/>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3"/>
      <c r="AO46" s="414"/>
      <c r="AP46" s="413"/>
      <c r="AQ46" s="413"/>
      <c r="AR46" s="413"/>
      <c r="AS46" s="413"/>
      <c r="AT46" s="413"/>
      <c r="AU46" s="413"/>
      <c r="AV46" s="413"/>
      <c r="AW46" s="413"/>
      <c r="AX46" s="413"/>
      <c r="AY46" s="414"/>
      <c r="AZ46" s="413"/>
      <c r="BA46" s="413"/>
      <c r="BB46" s="413"/>
      <c r="BC46" s="413"/>
      <c r="BD46" s="413"/>
      <c r="BE46" s="413"/>
      <c r="BF46" s="413"/>
      <c r="BG46" s="413"/>
      <c r="BH46" s="413"/>
      <c r="BI46" s="414"/>
      <c r="BJ46" s="413"/>
      <c r="BK46" s="413"/>
      <c r="BL46" s="413"/>
      <c r="BM46" s="413"/>
      <c r="BN46" s="413"/>
      <c r="BO46" s="413"/>
      <c r="BP46" s="413"/>
      <c r="BQ46" s="413"/>
      <c r="BR46" s="413"/>
      <c r="BS46" s="413"/>
      <c r="BT46" s="413"/>
      <c r="BU46" s="413"/>
      <c r="BV46" s="413"/>
      <c r="BW46" s="413"/>
      <c r="BX46" s="413"/>
      <c r="BY46" s="413"/>
      <c r="BZ46" s="413"/>
      <c r="CA46" s="413"/>
      <c r="CB46" s="413"/>
      <c r="CC46" s="413"/>
      <c r="CD46" s="413"/>
      <c r="CE46" s="413"/>
      <c r="CF46" s="413"/>
      <c r="CG46" s="413"/>
      <c r="CH46" s="413"/>
      <c r="CI46" s="413"/>
      <c r="CJ46" s="413"/>
      <c r="CK46" s="413"/>
      <c r="CL46" s="413"/>
      <c r="CM46" s="414"/>
      <c r="CN46" s="413"/>
      <c r="CO46" s="413"/>
      <c r="CP46" s="413"/>
      <c r="CQ46" s="413"/>
      <c r="CR46" s="413"/>
      <c r="CS46" s="413"/>
      <c r="CT46" s="413"/>
      <c r="CU46" s="413"/>
      <c r="CV46" s="413"/>
      <c r="CW46" s="414"/>
      <c r="CX46" s="413"/>
      <c r="CY46" s="413"/>
      <c r="CZ46" s="413"/>
      <c r="DA46" s="413"/>
      <c r="DB46" s="413"/>
      <c r="DC46" s="413"/>
      <c r="DD46" s="413"/>
      <c r="DE46" s="413"/>
      <c r="DF46" s="413"/>
      <c r="DG46" s="414"/>
      <c r="DH46" s="413"/>
      <c r="DI46" s="413"/>
      <c r="DJ46" s="413"/>
      <c r="DK46" s="413"/>
      <c r="DL46" s="413"/>
      <c r="DM46" s="413"/>
      <c r="DN46" s="413"/>
      <c r="DO46" s="413"/>
      <c r="DP46" s="413"/>
      <c r="DQ46" s="414"/>
      <c r="DR46" s="413"/>
      <c r="DS46" s="413"/>
      <c r="DT46" s="413"/>
      <c r="DU46" s="413"/>
      <c r="DV46" s="413"/>
      <c r="DW46" s="413"/>
      <c r="DX46" s="413"/>
      <c r="DY46" s="413"/>
      <c r="DZ46" s="413"/>
      <c r="EA46" s="413"/>
      <c r="EB46" s="413"/>
      <c r="EC46" s="413"/>
      <c r="ED46" s="413"/>
      <c r="EE46" s="413"/>
      <c r="EF46" s="413"/>
      <c r="EG46" s="413"/>
      <c r="EH46" s="413"/>
      <c r="EI46" s="413"/>
      <c r="EJ46" s="413"/>
      <c r="EK46" s="413"/>
      <c r="EL46" s="413"/>
      <c r="EM46" s="452"/>
      <c r="EN46" s="413"/>
      <c r="EO46" s="453"/>
      <c r="EP46" s="413"/>
      <c r="EQ46" s="434"/>
      <c r="ER46" s="434"/>
      <c r="ES46" s="434"/>
      <c r="ET46" s="434"/>
      <c r="EU46" s="434"/>
      <c r="EV46" s="434"/>
      <c r="EW46" s="434"/>
      <c r="EX46" s="434"/>
      <c r="EY46" s="434"/>
      <c r="EZ46" s="434"/>
      <c r="FA46" s="434"/>
      <c r="FB46" s="434"/>
      <c r="FC46" s="399"/>
      <c r="FD46" s="399"/>
      <c r="FE46" s="399"/>
      <c r="FF46" s="399"/>
      <c r="FG46" s="415"/>
      <c r="FH46" s="415"/>
      <c r="FI46" s="415"/>
      <c r="FJ46" s="415"/>
      <c r="FK46" s="415"/>
      <c r="FL46" s="415"/>
      <c r="FM46" s="415"/>
    </row>
    <row r="47" spans="1:169" hidden="1">
      <c r="A47" s="410"/>
      <c r="B47" s="459"/>
      <c r="C47" s="412"/>
      <c r="D47" s="412"/>
      <c r="E47" s="412"/>
      <c r="F47" s="412"/>
      <c r="G47" s="412"/>
      <c r="H47" s="412"/>
      <c r="I47" s="412"/>
      <c r="J47" s="412"/>
      <c r="K47" s="412"/>
      <c r="L47" s="412"/>
      <c r="M47" s="413"/>
      <c r="N47" s="413"/>
      <c r="O47" s="413"/>
      <c r="P47" s="413"/>
      <c r="Q47" s="413"/>
      <c r="R47" s="413"/>
      <c r="S47" s="413"/>
      <c r="T47" s="413"/>
      <c r="U47" s="413"/>
      <c r="V47" s="413"/>
      <c r="W47" s="413"/>
      <c r="X47" s="413"/>
      <c r="Y47" s="413"/>
      <c r="Z47" s="413"/>
      <c r="AA47" s="413"/>
      <c r="AB47" s="413"/>
      <c r="AC47" s="413"/>
      <c r="AD47" s="413"/>
      <c r="AE47" s="413"/>
      <c r="AF47" s="413"/>
      <c r="AG47" s="413"/>
      <c r="AH47" s="413"/>
      <c r="AI47" s="413"/>
      <c r="AJ47" s="413"/>
      <c r="AK47" s="413"/>
      <c r="AL47" s="413"/>
      <c r="AM47" s="413"/>
      <c r="AN47" s="413"/>
      <c r="AO47" s="414"/>
      <c r="AP47" s="413"/>
      <c r="AQ47" s="413"/>
      <c r="AR47" s="413"/>
      <c r="AS47" s="413"/>
      <c r="AT47" s="413"/>
      <c r="AU47" s="413"/>
      <c r="AV47" s="413"/>
      <c r="AW47" s="413"/>
      <c r="AX47" s="413"/>
      <c r="AY47" s="414"/>
      <c r="AZ47" s="413"/>
      <c r="BA47" s="413"/>
      <c r="BB47" s="413"/>
      <c r="BC47" s="413"/>
      <c r="BD47" s="413"/>
      <c r="BE47" s="413"/>
      <c r="BF47" s="413"/>
      <c r="BG47" s="413"/>
      <c r="BH47" s="413"/>
      <c r="BI47" s="414"/>
      <c r="BJ47" s="413"/>
      <c r="BK47" s="413"/>
      <c r="BL47" s="413"/>
      <c r="BM47" s="413"/>
      <c r="BN47" s="413"/>
      <c r="BO47" s="413"/>
      <c r="BP47" s="413"/>
      <c r="BQ47" s="413"/>
      <c r="BR47" s="413"/>
      <c r="BS47" s="413"/>
      <c r="BT47" s="413"/>
      <c r="BU47" s="413"/>
      <c r="BV47" s="413"/>
      <c r="BW47" s="413"/>
      <c r="BX47" s="413"/>
      <c r="BY47" s="413"/>
      <c r="BZ47" s="413"/>
      <c r="CA47" s="413"/>
      <c r="CB47" s="413"/>
      <c r="CC47" s="413"/>
      <c r="CD47" s="413"/>
      <c r="CE47" s="413"/>
      <c r="CF47" s="413"/>
      <c r="CG47" s="413"/>
      <c r="CH47" s="413"/>
      <c r="CI47" s="413"/>
      <c r="CJ47" s="413"/>
      <c r="CK47" s="413"/>
      <c r="CL47" s="413"/>
      <c r="CM47" s="414"/>
      <c r="CN47" s="413"/>
      <c r="CO47" s="413"/>
      <c r="CP47" s="413"/>
      <c r="CQ47" s="413"/>
      <c r="CR47" s="413"/>
      <c r="CS47" s="413"/>
      <c r="CT47" s="413"/>
      <c r="CU47" s="413"/>
      <c r="CV47" s="413"/>
      <c r="CW47" s="414"/>
      <c r="CX47" s="413"/>
      <c r="CY47" s="413"/>
      <c r="CZ47" s="413"/>
      <c r="DA47" s="413"/>
      <c r="DB47" s="413"/>
      <c r="DC47" s="413"/>
      <c r="DD47" s="413"/>
      <c r="DE47" s="413"/>
      <c r="DF47" s="413"/>
      <c r="DG47" s="414"/>
      <c r="DH47" s="413"/>
      <c r="DI47" s="413"/>
      <c r="DJ47" s="413"/>
      <c r="DK47" s="413"/>
      <c r="DL47" s="413"/>
      <c r="DM47" s="413"/>
      <c r="DN47" s="413"/>
      <c r="DO47" s="413"/>
      <c r="DP47" s="413"/>
      <c r="DQ47" s="414"/>
      <c r="DR47" s="413"/>
      <c r="DS47" s="413"/>
      <c r="DT47" s="413"/>
      <c r="DU47" s="413"/>
      <c r="DV47" s="413"/>
      <c r="DW47" s="413"/>
      <c r="DX47" s="413"/>
      <c r="DY47" s="413"/>
      <c r="DZ47" s="413"/>
      <c r="EA47" s="413"/>
      <c r="EB47" s="413"/>
      <c r="EC47" s="413"/>
      <c r="ED47" s="413"/>
      <c r="EE47" s="413"/>
      <c r="EF47" s="413"/>
      <c r="EG47" s="413"/>
      <c r="EH47" s="413"/>
      <c r="EI47" s="413"/>
      <c r="EJ47" s="413"/>
      <c r="EK47" s="413"/>
      <c r="EL47" s="413"/>
      <c r="EM47" s="452"/>
      <c r="EN47" s="413"/>
      <c r="EO47" s="453"/>
      <c r="EP47" s="413"/>
      <c r="EQ47" s="434"/>
      <c r="ER47" s="434"/>
      <c r="ES47" s="434"/>
      <c r="ET47" s="434"/>
      <c r="EU47" s="434"/>
      <c r="EV47" s="434"/>
      <c r="EW47" s="434"/>
      <c r="EX47" s="434"/>
      <c r="EY47" s="434"/>
      <c r="EZ47" s="434"/>
      <c r="FA47" s="434"/>
      <c r="FB47" s="434"/>
      <c r="FC47" s="399"/>
      <c r="FD47" s="399"/>
      <c r="FE47" s="399"/>
      <c r="FF47" s="399"/>
      <c r="FG47" s="415"/>
      <c r="FH47" s="415"/>
      <c r="FI47" s="415"/>
      <c r="FJ47" s="415"/>
      <c r="FK47" s="415"/>
      <c r="FL47" s="415"/>
      <c r="FM47" s="415"/>
    </row>
    <row r="48" spans="1:169" hidden="1">
      <c r="A48" s="410"/>
      <c r="B48" s="57" t="s">
        <v>153</v>
      </c>
      <c r="C48" s="412"/>
      <c r="D48" s="412"/>
      <c r="E48" s="412"/>
      <c r="F48" s="412"/>
      <c r="G48" s="412"/>
      <c r="H48" s="412"/>
      <c r="I48" s="412"/>
      <c r="J48" s="412"/>
      <c r="K48" s="412"/>
      <c r="L48" s="412"/>
      <c r="M48" s="413"/>
      <c r="N48" s="413"/>
      <c r="O48" s="413"/>
      <c r="P48" s="413"/>
      <c r="Q48" s="413"/>
      <c r="R48" s="413"/>
      <c r="S48" s="413"/>
      <c r="T48" s="413"/>
      <c r="U48" s="413"/>
      <c r="V48" s="413"/>
      <c r="W48" s="413"/>
      <c r="X48" s="413"/>
      <c r="Y48" s="413"/>
      <c r="Z48" s="413"/>
      <c r="AA48" s="413"/>
      <c r="AB48" s="413"/>
      <c r="AC48" s="413"/>
      <c r="AD48" s="413"/>
      <c r="AE48" s="413"/>
      <c r="AF48" s="413"/>
      <c r="AG48" s="413"/>
      <c r="AH48" s="413"/>
      <c r="AI48" s="413"/>
      <c r="AJ48" s="413"/>
      <c r="AK48" s="413"/>
      <c r="AL48" s="413"/>
      <c r="AM48" s="413"/>
      <c r="AN48" s="413"/>
      <c r="AO48" s="414"/>
      <c r="AP48" s="413"/>
      <c r="AQ48" s="413"/>
      <c r="AR48" s="413"/>
      <c r="AS48" s="413"/>
      <c r="AT48" s="413"/>
      <c r="AU48" s="413"/>
      <c r="AV48" s="413"/>
      <c r="AW48" s="413"/>
      <c r="AX48" s="413"/>
      <c r="AY48" s="414"/>
      <c r="AZ48" s="413"/>
      <c r="BA48" s="413"/>
      <c r="BB48" s="413"/>
      <c r="BC48" s="413"/>
      <c r="BD48" s="413"/>
      <c r="BE48" s="413"/>
      <c r="BF48" s="413"/>
      <c r="BG48" s="413"/>
      <c r="BH48" s="413"/>
      <c r="BI48" s="414"/>
      <c r="BJ48" s="413"/>
      <c r="BK48" s="413"/>
      <c r="BL48" s="413"/>
      <c r="BM48" s="413"/>
      <c r="BN48" s="413"/>
      <c r="BO48" s="413"/>
      <c r="BP48" s="413"/>
      <c r="BQ48" s="413"/>
      <c r="BR48" s="413"/>
      <c r="BS48" s="413"/>
      <c r="BT48" s="413"/>
      <c r="BU48" s="413"/>
      <c r="BV48" s="413"/>
      <c r="BW48" s="413"/>
      <c r="BX48" s="413"/>
      <c r="BY48" s="413"/>
      <c r="BZ48" s="413"/>
      <c r="CA48" s="413"/>
      <c r="CB48" s="413"/>
      <c r="CC48" s="413"/>
      <c r="CD48" s="413"/>
      <c r="CE48" s="413"/>
      <c r="CF48" s="413"/>
      <c r="CG48" s="413"/>
      <c r="CH48" s="413"/>
      <c r="CI48" s="413"/>
      <c r="CJ48" s="413"/>
      <c r="CK48" s="413"/>
      <c r="CL48" s="413"/>
      <c r="CM48" s="414"/>
      <c r="CN48" s="413"/>
      <c r="CO48" s="413"/>
      <c r="CP48" s="413"/>
      <c r="CQ48" s="413"/>
      <c r="CR48" s="413"/>
      <c r="CS48" s="413"/>
      <c r="CT48" s="413"/>
      <c r="CU48" s="413"/>
      <c r="CV48" s="413"/>
      <c r="CW48" s="414"/>
      <c r="CX48" s="413"/>
      <c r="CY48" s="413"/>
      <c r="CZ48" s="413"/>
      <c r="DA48" s="413"/>
      <c r="DB48" s="413"/>
      <c r="DC48" s="413"/>
      <c r="DD48" s="413"/>
      <c r="DE48" s="413"/>
      <c r="DF48" s="413"/>
      <c r="DG48" s="414"/>
      <c r="DH48" s="413"/>
      <c r="DI48" s="413"/>
      <c r="DJ48" s="413"/>
      <c r="DK48" s="413"/>
      <c r="DL48" s="413"/>
      <c r="DM48" s="413"/>
      <c r="DN48" s="413"/>
      <c r="DO48" s="413"/>
      <c r="DP48" s="413"/>
      <c r="DQ48" s="414"/>
      <c r="DR48" s="413"/>
      <c r="DS48" s="413"/>
      <c r="DT48" s="413"/>
      <c r="DU48" s="413"/>
      <c r="DV48" s="413"/>
      <c r="DW48" s="413"/>
      <c r="DX48" s="413"/>
      <c r="DY48" s="413"/>
      <c r="DZ48" s="413"/>
      <c r="EA48" s="413"/>
      <c r="EB48" s="413"/>
      <c r="EC48" s="413"/>
      <c r="ED48" s="413"/>
      <c r="EE48" s="413"/>
      <c r="EF48" s="413"/>
      <c r="EG48" s="413"/>
      <c r="EH48" s="413"/>
      <c r="EI48" s="413"/>
      <c r="EJ48" s="413"/>
      <c r="EK48" s="413"/>
      <c r="EL48" s="413"/>
      <c r="EM48" s="452"/>
      <c r="EN48" s="413"/>
      <c r="EO48" s="453"/>
      <c r="EP48" s="413"/>
      <c r="EQ48" s="434"/>
      <c r="ER48" s="434"/>
      <c r="ES48" s="434"/>
      <c r="ET48" s="434"/>
      <c r="EU48" s="434"/>
      <c r="EV48" s="434"/>
      <c r="EW48" s="434"/>
      <c r="EX48" s="434"/>
      <c r="EY48" s="434"/>
      <c r="EZ48" s="434"/>
      <c r="FA48" s="434"/>
      <c r="FB48" s="434"/>
      <c r="FC48" s="399"/>
      <c r="FD48" s="399"/>
      <c r="FE48" s="399"/>
      <c r="FF48" s="399"/>
      <c r="FG48" s="415"/>
      <c r="FH48" s="415"/>
      <c r="FI48" s="415"/>
      <c r="FJ48" s="415"/>
      <c r="FK48" s="415"/>
      <c r="FL48" s="415"/>
      <c r="FM48" s="415"/>
    </row>
    <row r="49" spans="1:169" hidden="1">
      <c r="A49" s="410"/>
      <c r="B49" s="57"/>
      <c r="C49" s="412"/>
      <c r="D49" s="412"/>
      <c r="E49" s="412"/>
      <c r="F49" s="412"/>
      <c r="G49" s="412"/>
      <c r="H49" s="412"/>
      <c r="I49" s="412"/>
      <c r="J49" s="412"/>
      <c r="K49" s="412"/>
      <c r="L49" s="412"/>
      <c r="M49" s="413"/>
      <c r="N49" s="413"/>
      <c r="O49" s="413"/>
      <c r="P49" s="413"/>
      <c r="Q49" s="413"/>
      <c r="R49" s="413"/>
      <c r="S49" s="413"/>
      <c r="T49" s="413"/>
      <c r="U49" s="413"/>
      <c r="V49" s="413"/>
      <c r="W49" s="413"/>
      <c r="X49" s="413"/>
      <c r="Y49" s="413"/>
      <c r="Z49" s="413"/>
      <c r="AA49" s="413"/>
      <c r="AB49" s="413"/>
      <c r="AC49" s="413"/>
      <c r="AD49" s="413"/>
      <c r="AE49" s="413"/>
      <c r="AF49" s="413"/>
      <c r="AG49" s="413"/>
      <c r="AH49" s="413"/>
      <c r="AI49" s="413"/>
      <c r="AJ49" s="413"/>
      <c r="AK49" s="413"/>
      <c r="AL49" s="413"/>
      <c r="AM49" s="413"/>
      <c r="AN49" s="413"/>
      <c r="AO49" s="414"/>
      <c r="AP49" s="413"/>
      <c r="AQ49" s="413"/>
      <c r="AR49" s="413"/>
      <c r="AS49" s="413"/>
      <c r="AT49" s="413"/>
      <c r="AU49" s="413"/>
      <c r="AV49" s="413"/>
      <c r="AW49" s="413"/>
      <c r="AX49" s="413"/>
      <c r="AY49" s="414"/>
      <c r="AZ49" s="413"/>
      <c r="BA49" s="413"/>
      <c r="BB49" s="413"/>
      <c r="BC49" s="413"/>
      <c r="BD49" s="413"/>
      <c r="BE49" s="413"/>
      <c r="BF49" s="413"/>
      <c r="BG49" s="413"/>
      <c r="BH49" s="413"/>
      <c r="BI49" s="414"/>
      <c r="BJ49" s="413"/>
      <c r="BK49" s="413"/>
      <c r="BL49" s="413"/>
      <c r="BM49" s="413"/>
      <c r="BN49" s="413"/>
      <c r="BO49" s="413"/>
      <c r="BP49" s="413"/>
      <c r="BQ49" s="413"/>
      <c r="BR49" s="413"/>
      <c r="BS49" s="413"/>
      <c r="BT49" s="413"/>
      <c r="BU49" s="413"/>
      <c r="BV49" s="413"/>
      <c r="BW49" s="413"/>
      <c r="BX49" s="413"/>
      <c r="BY49" s="413"/>
      <c r="BZ49" s="413"/>
      <c r="CA49" s="413"/>
      <c r="CB49" s="413"/>
      <c r="CC49" s="413"/>
      <c r="CD49" s="413"/>
      <c r="CE49" s="413"/>
      <c r="CF49" s="413"/>
      <c r="CG49" s="413"/>
      <c r="CH49" s="413"/>
      <c r="CI49" s="413"/>
      <c r="CJ49" s="413"/>
      <c r="CK49" s="413"/>
      <c r="CL49" s="413"/>
      <c r="CM49" s="414"/>
      <c r="CN49" s="413"/>
      <c r="CO49" s="413"/>
      <c r="CP49" s="413"/>
      <c r="CQ49" s="413"/>
      <c r="CR49" s="413"/>
      <c r="CS49" s="413"/>
      <c r="CT49" s="413"/>
      <c r="CU49" s="413"/>
      <c r="CV49" s="413"/>
      <c r="CW49" s="414"/>
      <c r="CX49" s="413"/>
      <c r="CY49" s="413"/>
      <c r="CZ49" s="413"/>
      <c r="DA49" s="413"/>
      <c r="DB49" s="413"/>
      <c r="DC49" s="413"/>
      <c r="DD49" s="413"/>
      <c r="DE49" s="413"/>
      <c r="DF49" s="413"/>
      <c r="DG49" s="414"/>
      <c r="DH49" s="413"/>
      <c r="DI49" s="413"/>
      <c r="DJ49" s="413"/>
      <c r="DK49" s="413"/>
      <c r="DL49" s="413"/>
      <c r="DM49" s="413"/>
      <c r="DN49" s="413"/>
      <c r="DO49" s="413"/>
      <c r="DP49" s="413"/>
      <c r="DQ49" s="414"/>
      <c r="DR49" s="413"/>
      <c r="DS49" s="413"/>
      <c r="DT49" s="413"/>
      <c r="DU49" s="413"/>
      <c r="DV49" s="413"/>
      <c r="DW49" s="413"/>
      <c r="DX49" s="413"/>
      <c r="DY49" s="413"/>
      <c r="DZ49" s="413"/>
      <c r="EA49" s="413"/>
      <c r="EB49" s="413"/>
      <c r="EC49" s="413"/>
      <c r="ED49" s="413"/>
      <c r="EE49" s="413"/>
      <c r="EF49" s="413"/>
      <c r="EG49" s="413"/>
      <c r="EH49" s="413"/>
      <c r="EI49" s="413"/>
      <c r="EJ49" s="413"/>
      <c r="EK49" s="413"/>
      <c r="EL49" s="413"/>
      <c r="EM49" s="452"/>
      <c r="EN49" s="413"/>
      <c r="EO49" s="453"/>
      <c r="EP49" s="413"/>
      <c r="EQ49" s="434"/>
      <c r="ER49" s="434"/>
      <c r="ES49" s="434"/>
      <c r="ET49" s="434"/>
      <c r="EU49" s="434"/>
      <c r="EV49" s="434"/>
      <c r="EW49" s="434"/>
      <c r="EX49" s="434"/>
      <c r="EY49" s="434"/>
      <c r="EZ49" s="434"/>
      <c r="FA49" s="434"/>
      <c r="FB49" s="434"/>
      <c r="FC49" s="399"/>
      <c r="FD49" s="399"/>
      <c r="FE49" s="399"/>
      <c r="FF49" s="399"/>
      <c r="FG49" s="415"/>
      <c r="FH49" s="415"/>
      <c r="FI49" s="415"/>
      <c r="FJ49" s="415"/>
      <c r="FK49" s="415"/>
      <c r="FL49" s="415"/>
      <c r="FM49" s="415"/>
    </row>
    <row r="50" spans="1:169" hidden="1">
      <c r="A50" s="462" t="s">
        <v>16</v>
      </c>
      <c r="B50" s="57" t="s">
        <v>1322</v>
      </c>
      <c r="C50" s="412"/>
      <c r="D50" s="412"/>
      <c r="E50" s="412"/>
      <c r="F50" s="412"/>
      <c r="G50" s="412"/>
      <c r="H50" s="412"/>
      <c r="I50" s="412"/>
      <c r="J50" s="412"/>
      <c r="K50" s="412"/>
      <c r="L50" s="412"/>
      <c r="M50" s="413"/>
      <c r="N50" s="413"/>
      <c r="O50" s="413"/>
      <c r="P50" s="413"/>
      <c r="Q50" s="413"/>
      <c r="R50" s="413"/>
      <c r="S50" s="413"/>
      <c r="T50" s="413"/>
      <c r="U50" s="413"/>
      <c r="V50" s="413"/>
      <c r="W50" s="413"/>
      <c r="X50" s="413"/>
      <c r="Y50" s="413"/>
      <c r="Z50" s="413"/>
      <c r="AA50" s="413"/>
      <c r="AB50" s="413"/>
      <c r="AC50" s="413"/>
      <c r="AD50" s="413"/>
      <c r="AE50" s="413"/>
      <c r="AF50" s="413"/>
      <c r="AG50" s="413"/>
      <c r="AH50" s="413"/>
      <c r="AI50" s="413"/>
      <c r="AJ50" s="413"/>
      <c r="AK50" s="413"/>
      <c r="AL50" s="413"/>
      <c r="AM50" s="413"/>
      <c r="AN50" s="413"/>
      <c r="AO50" s="414"/>
      <c r="AP50" s="413"/>
      <c r="AQ50" s="413"/>
      <c r="AR50" s="413"/>
      <c r="AS50" s="413"/>
      <c r="AT50" s="413"/>
      <c r="AU50" s="413"/>
      <c r="AV50" s="413"/>
      <c r="AW50" s="413"/>
      <c r="AX50" s="413"/>
      <c r="AY50" s="414"/>
      <c r="AZ50" s="413"/>
      <c r="BA50" s="413"/>
      <c r="BB50" s="413"/>
      <c r="BC50" s="413"/>
      <c r="BD50" s="413"/>
      <c r="BE50" s="413"/>
      <c r="BF50" s="413"/>
      <c r="BG50" s="413"/>
      <c r="BH50" s="413"/>
      <c r="BI50" s="414"/>
      <c r="BJ50" s="413"/>
      <c r="BK50" s="413"/>
      <c r="BL50" s="413"/>
      <c r="BM50" s="413"/>
      <c r="BN50" s="413"/>
      <c r="BO50" s="413"/>
      <c r="BP50" s="413"/>
      <c r="BQ50" s="413"/>
      <c r="BR50" s="413"/>
      <c r="BS50" s="413"/>
      <c r="BT50" s="413"/>
      <c r="BU50" s="413"/>
      <c r="BV50" s="413"/>
      <c r="BW50" s="413"/>
      <c r="BX50" s="413"/>
      <c r="BY50" s="413"/>
      <c r="BZ50" s="413"/>
      <c r="CA50" s="413"/>
      <c r="CB50" s="413"/>
      <c r="CC50" s="413"/>
      <c r="CD50" s="413"/>
      <c r="CE50" s="413"/>
      <c r="CF50" s="413"/>
      <c r="CG50" s="413"/>
      <c r="CH50" s="413"/>
      <c r="CI50" s="413"/>
      <c r="CJ50" s="413"/>
      <c r="CK50" s="413"/>
      <c r="CL50" s="413"/>
      <c r="CM50" s="414"/>
      <c r="CN50" s="413"/>
      <c r="CO50" s="413"/>
      <c r="CP50" s="413"/>
      <c r="CQ50" s="413"/>
      <c r="CR50" s="413"/>
      <c r="CS50" s="413"/>
      <c r="CT50" s="413"/>
      <c r="CU50" s="413"/>
      <c r="CV50" s="413"/>
      <c r="CW50" s="414"/>
      <c r="CX50" s="413"/>
      <c r="CY50" s="413"/>
      <c r="CZ50" s="413"/>
      <c r="DA50" s="413"/>
      <c r="DB50" s="413"/>
      <c r="DC50" s="413"/>
      <c r="DD50" s="413"/>
      <c r="DE50" s="413"/>
      <c r="DF50" s="413"/>
      <c r="DG50" s="414"/>
      <c r="DH50" s="413"/>
      <c r="DI50" s="413"/>
      <c r="DJ50" s="413"/>
      <c r="DK50" s="413"/>
      <c r="DL50" s="413"/>
      <c r="DM50" s="413"/>
      <c r="DN50" s="413"/>
      <c r="DO50" s="413"/>
      <c r="DP50" s="413"/>
      <c r="DQ50" s="414"/>
      <c r="DR50" s="413"/>
      <c r="DS50" s="413"/>
      <c r="DT50" s="413"/>
      <c r="DU50" s="413"/>
      <c r="DV50" s="413"/>
      <c r="DW50" s="413"/>
      <c r="DX50" s="413"/>
      <c r="DY50" s="413"/>
      <c r="DZ50" s="413"/>
      <c r="EA50" s="413"/>
      <c r="EB50" s="413"/>
      <c r="EC50" s="413"/>
      <c r="ED50" s="413"/>
      <c r="EE50" s="413"/>
      <c r="EF50" s="413"/>
      <c r="EG50" s="413"/>
      <c r="EH50" s="413"/>
      <c r="EI50" s="413"/>
      <c r="EJ50" s="413"/>
      <c r="EK50" s="413"/>
      <c r="EL50" s="413"/>
      <c r="EM50" s="452"/>
      <c r="EN50" s="413"/>
      <c r="EO50" s="453"/>
      <c r="EP50" s="413"/>
      <c r="EQ50" s="434"/>
      <c r="ER50" s="434"/>
      <c r="ES50" s="434"/>
      <c r="ET50" s="434"/>
      <c r="EU50" s="434"/>
      <c r="EV50" s="434"/>
      <c r="EW50" s="434"/>
      <c r="EX50" s="434"/>
      <c r="EY50" s="434"/>
      <c r="EZ50" s="434"/>
      <c r="FA50" s="434"/>
      <c r="FB50" s="434"/>
      <c r="FC50" s="399"/>
      <c r="FD50" s="399"/>
      <c r="FE50" s="399"/>
      <c r="FF50" s="399"/>
      <c r="FG50" s="415"/>
      <c r="FH50" s="415"/>
      <c r="FI50" s="415"/>
      <c r="FJ50" s="415"/>
      <c r="FK50" s="415"/>
      <c r="FL50" s="415"/>
      <c r="FM50" s="415"/>
    </row>
    <row r="51" spans="1:169" hidden="1">
      <c r="A51" s="410" t="s">
        <v>82</v>
      </c>
      <c r="B51" s="459" t="s">
        <v>1323</v>
      </c>
      <c r="C51" s="412"/>
      <c r="D51" s="412"/>
      <c r="E51" s="412"/>
      <c r="F51" s="412"/>
      <c r="G51" s="412"/>
      <c r="H51" s="412"/>
      <c r="I51" s="412"/>
      <c r="J51" s="412"/>
      <c r="K51" s="412"/>
      <c r="L51" s="412"/>
      <c r="M51" s="413"/>
      <c r="N51" s="413"/>
      <c r="O51" s="413"/>
      <c r="P51" s="413"/>
      <c r="Q51" s="413"/>
      <c r="R51" s="413"/>
      <c r="S51" s="413"/>
      <c r="T51" s="413"/>
      <c r="U51" s="413"/>
      <c r="V51" s="413"/>
      <c r="W51" s="413"/>
      <c r="X51" s="413"/>
      <c r="Y51" s="413"/>
      <c r="Z51" s="413"/>
      <c r="AA51" s="413"/>
      <c r="AB51" s="413"/>
      <c r="AC51" s="413"/>
      <c r="AD51" s="413"/>
      <c r="AE51" s="413"/>
      <c r="AF51" s="413"/>
      <c r="AG51" s="413"/>
      <c r="AH51" s="413"/>
      <c r="AI51" s="413"/>
      <c r="AJ51" s="413"/>
      <c r="AK51" s="413"/>
      <c r="AL51" s="413"/>
      <c r="AM51" s="413"/>
      <c r="AN51" s="413"/>
      <c r="AO51" s="414"/>
      <c r="AP51" s="413"/>
      <c r="AQ51" s="413"/>
      <c r="AR51" s="413"/>
      <c r="AS51" s="413"/>
      <c r="AT51" s="413"/>
      <c r="AU51" s="413"/>
      <c r="AV51" s="413"/>
      <c r="AW51" s="413"/>
      <c r="AX51" s="413"/>
      <c r="AY51" s="414"/>
      <c r="AZ51" s="413"/>
      <c r="BA51" s="413"/>
      <c r="BB51" s="413"/>
      <c r="BC51" s="413"/>
      <c r="BD51" s="413"/>
      <c r="BE51" s="413"/>
      <c r="BF51" s="413"/>
      <c r="BG51" s="413"/>
      <c r="BH51" s="413"/>
      <c r="BI51" s="414"/>
      <c r="BJ51" s="413"/>
      <c r="BK51" s="413"/>
      <c r="BL51" s="413"/>
      <c r="BM51" s="413"/>
      <c r="BN51" s="413"/>
      <c r="BO51" s="413"/>
      <c r="BP51" s="413"/>
      <c r="BQ51" s="413"/>
      <c r="BR51" s="413"/>
      <c r="BS51" s="413"/>
      <c r="BT51" s="413"/>
      <c r="BU51" s="413"/>
      <c r="BV51" s="413"/>
      <c r="BW51" s="413"/>
      <c r="BX51" s="413"/>
      <c r="BY51" s="413"/>
      <c r="BZ51" s="413"/>
      <c r="CA51" s="413"/>
      <c r="CB51" s="413"/>
      <c r="CC51" s="413"/>
      <c r="CD51" s="413"/>
      <c r="CE51" s="413"/>
      <c r="CF51" s="413"/>
      <c r="CG51" s="413"/>
      <c r="CH51" s="413"/>
      <c r="CI51" s="413"/>
      <c r="CJ51" s="413"/>
      <c r="CK51" s="413"/>
      <c r="CL51" s="413"/>
      <c r="CM51" s="414"/>
      <c r="CN51" s="413"/>
      <c r="CO51" s="413"/>
      <c r="CP51" s="413"/>
      <c r="CQ51" s="413"/>
      <c r="CR51" s="413"/>
      <c r="CS51" s="413"/>
      <c r="CT51" s="413"/>
      <c r="CU51" s="413"/>
      <c r="CV51" s="413"/>
      <c r="CW51" s="414"/>
      <c r="CX51" s="413"/>
      <c r="CY51" s="413"/>
      <c r="CZ51" s="413"/>
      <c r="DA51" s="413"/>
      <c r="DB51" s="413"/>
      <c r="DC51" s="413"/>
      <c r="DD51" s="413"/>
      <c r="DE51" s="413"/>
      <c r="DF51" s="413"/>
      <c r="DG51" s="414"/>
      <c r="DH51" s="413"/>
      <c r="DI51" s="413"/>
      <c r="DJ51" s="413"/>
      <c r="DK51" s="413"/>
      <c r="DL51" s="413"/>
      <c r="DM51" s="413"/>
      <c r="DN51" s="413"/>
      <c r="DO51" s="413"/>
      <c r="DP51" s="413"/>
      <c r="DQ51" s="414"/>
      <c r="DR51" s="413"/>
      <c r="DS51" s="413"/>
      <c r="DT51" s="413"/>
      <c r="DU51" s="413"/>
      <c r="DV51" s="413"/>
      <c r="DW51" s="413"/>
      <c r="DX51" s="413"/>
      <c r="DY51" s="413"/>
      <c r="DZ51" s="413"/>
      <c r="EA51" s="413"/>
      <c r="EB51" s="413"/>
      <c r="EC51" s="413"/>
      <c r="ED51" s="413"/>
      <c r="EE51" s="413"/>
      <c r="EF51" s="413"/>
      <c r="EG51" s="413"/>
      <c r="EH51" s="413"/>
      <c r="EI51" s="413"/>
      <c r="EJ51" s="413"/>
      <c r="EK51" s="413"/>
      <c r="EL51" s="413"/>
      <c r="EM51" s="452"/>
      <c r="EN51" s="413"/>
      <c r="EO51" s="453"/>
      <c r="EP51" s="413"/>
      <c r="EQ51" s="434"/>
      <c r="ER51" s="434"/>
      <c r="ES51" s="434"/>
      <c r="ET51" s="434"/>
      <c r="EU51" s="434"/>
      <c r="EV51" s="434"/>
      <c r="EW51" s="434"/>
      <c r="EX51" s="434"/>
      <c r="EY51" s="434"/>
      <c r="EZ51" s="434"/>
      <c r="FA51" s="434"/>
      <c r="FB51" s="434"/>
      <c r="FC51" s="399"/>
      <c r="FD51" s="399"/>
      <c r="FE51" s="399"/>
      <c r="FF51" s="399"/>
      <c r="FG51" s="415"/>
      <c r="FH51" s="415"/>
      <c r="FI51" s="415"/>
      <c r="FJ51" s="415"/>
      <c r="FK51" s="415"/>
      <c r="FL51" s="415"/>
      <c r="FM51" s="415"/>
    </row>
    <row r="52" spans="1:169" hidden="1">
      <c r="A52" s="410" t="s">
        <v>83</v>
      </c>
      <c r="B52" s="459" t="s">
        <v>1324</v>
      </c>
      <c r="C52" s="412"/>
      <c r="D52" s="412"/>
      <c r="E52" s="412"/>
      <c r="F52" s="412"/>
      <c r="G52" s="412"/>
      <c r="H52" s="412"/>
      <c r="I52" s="412"/>
      <c r="J52" s="412"/>
      <c r="K52" s="412"/>
      <c r="L52" s="412"/>
      <c r="M52" s="413"/>
      <c r="N52" s="413"/>
      <c r="O52" s="413"/>
      <c r="P52" s="413"/>
      <c r="Q52" s="413"/>
      <c r="R52" s="413"/>
      <c r="S52" s="413"/>
      <c r="T52" s="413"/>
      <c r="U52" s="413"/>
      <c r="V52" s="413"/>
      <c r="W52" s="413"/>
      <c r="X52" s="413"/>
      <c r="Y52" s="413"/>
      <c r="Z52" s="413"/>
      <c r="AA52" s="413"/>
      <c r="AB52" s="413"/>
      <c r="AC52" s="413"/>
      <c r="AD52" s="413"/>
      <c r="AE52" s="413"/>
      <c r="AF52" s="413"/>
      <c r="AG52" s="413"/>
      <c r="AH52" s="413"/>
      <c r="AI52" s="413"/>
      <c r="AJ52" s="413"/>
      <c r="AK52" s="413"/>
      <c r="AL52" s="413"/>
      <c r="AM52" s="413"/>
      <c r="AN52" s="413"/>
      <c r="AO52" s="414"/>
      <c r="AP52" s="413"/>
      <c r="AQ52" s="413"/>
      <c r="AR52" s="413"/>
      <c r="AS52" s="413"/>
      <c r="AT52" s="413"/>
      <c r="AU52" s="413"/>
      <c r="AV52" s="413"/>
      <c r="AW52" s="413"/>
      <c r="AX52" s="413"/>
      <c r="AY52" s="414"/>
      <c r="AZ52" s="413"/>
      <c r="BA52" s="413"/>
      <c r="BB52" s="413"/>
      <c r="BC52" s="413"/>
      <c r="BD52" s="413"/>
      <c r="BE52" s="413"/>
      <c r="BF52" s="413"/>
      <c r="BG52" s="413"/>
      <c r="BH52" s="413"/>
      <c r="BI52" s="414"/>
      <c r="BJ52" s="413"/>
      <c r="BK52" s="413"/>
      <c r="BL52" s="413"/>
      <c r="BM52" s="413"/>
      <c r="BN52" s="413"/>
      <c r="BO52" s="413"/>
      <c r="BP52" s="413"/>
      <c r="BQ52" s="413"/>
      <c r="BR52" s="413"/>
      <c r="BS52" s="413"/>
      <c r="BT52" s="413"/>
      <c r="BU52" s="413"/>
      <c r="BV52" s="413"/>
      <c r="BW52" s="413"/>
      <c r="BX52" s="413"/>
      <c r="BY52" s="413"/>
      <c r="BZ52" s="413"/>
      <c r="CA52" s="413"/>
      <c r="CB52" s="413"/>
      <c r="CC52" s="413"/>
      <c r="CD52" s="413"/>
      <c r="CE52" s="413"/>
      <c r="CF52" s="413"/>
      <c r="CG52" s="413"/>
      <c r="CH52" s="413"/>
      <c r="CI52" s="413"/>
      <c r="CJ52" s="413"/>
      <c r="CK52" s="413"/>
      <c r="CL52" s="413"/>
      <c r="CM52" s="414"/>
      <c r="CN52" s="413"/>
      <c r="CO52" s="413"/>
      <c r="CP52" s="413"/>
      <c r="CQ52" s="413"/>
      <c r="CR52" s="413"/>
      <c r="CS52" s="413"/>
      <c r="CT52" s="413"/>
      <c r="CU52" s="413"/>
      <c r="CV52" s="413"/>
      <c r="CW52" s="414"/>
      <c r="CX52" s="413"/>
      <c r="CY52" s="413"/>
      <c r="CZ52" s="413"/>
      <c r="DA52" s="413"/>
      <c r="DB52" s="413"/>
      <c r="DC52" s="413"/>
      <c r="DD52" s="413"/>
      <c r="DE52" s="413"/>
      <c r="DF52" s="413"/>
      <c r="DG52" s="414"/>
      <c r="DH52" s="413"/>
      <c r="DI52" s="413"/>
      <c r="DJ52" s="413"/>
      <c r="DK52" s="413"/>
      <c r="DL52" s="413"/>
      <c r="DM52" s="413"/>
      <c r="DN52" s="413"/>
      <c r="DO52" s="413"/>
      <c r="DP52" s="413"/>
      <c r="DQ52" s="414"/>
      <c r="DR52" s="413"/>
      <c r="DS52" s="413"/>
      <c r="DT52" s="413"/>
      <c r="DU52" s="413"/>
      <c r="DV52" s="413"/>
      <c r="DW52" s="413"/>
      <c r="DX52" s="413"/>
      <c r="DY52" s="413"/>
      <c r="DZ52" s="413"/>
      <c r="EA52" s="413"/>
      <c r="EB52" s="413"/>
      <c r="EC52" s="413"/>
      <c r="ED52" s="413"/>
      <c r="EE52" s="413"/>
      <c r="EF52" s="413"/>
      <c r="EG52" s="413"/>
      <c r="EH52" s="413"/>
      <c r="EI52" s="413"/>
      <c r="EJ52" s="413"/>
      <c r="EK52" s="413"/>
      <c r="EL52" s="413"/>
      <c r="EM52" s="452"/>
      <c r="EN52" s="413"/>
      <c r="EO52" s="453"/>
      <c r="EP52" s="413"/>
      <c r="EQ52" s="434"/>
      <c r="ER52" s="434"/>
      <c r="ES52" s="434"/>
      <c r="ET52" s="434"/>
      <c r="EU52" s="434"/>
      <c r="EV52" s="434"/>
      <c r="EW52" s="434"/>
      <c r="EX52" s="434"/>
      <c r="EY52" s="434"/>
      <c r="EZ52" s="434"/>
      <c r="FA52" s="434"/>
      <c r="FB52" s="434"/>
      <c r="FC52" s="399"/>
      <c r="FD52" s="399"/>
      <c r="FE52" s="399"/>
      <c r="FF52" s="399"/>
      <c r="FG52" s="415"/>
      <c r="FH52" s="415"/>
      <c r="FI52" s="415"/>
      <c r="FJ52" s="415"/>
      <c r="FK52" s="415"/>
      <c r="FL52" s="415"/>
      <c r="FM52" s="415"/>
    </row>
    <row r="53" spans="1:169" hidden="1">
      <c r="A53" s="410" t="s">
        <v>86</v>
      </c>
      <c r="B53" s="459"/>
      <c r="C53" s="412"/>
      <c r="D53" s="412"/>
      <c r="E53" s="412"/>
      <c r="F53" s="412"/>
      <c r="G53" s="412"/>
      <c r="H53" s="412"/>
      <c r="I53" s="412"/>
      <c r="J53" s="412"/>
      <c r="K53" s="412"/>
      <c r="L53" s="412"/>
      <c r="M53" s="413"/>
      <c r="N53" s="413"/>
      <c r="O53" s="413"/>
      <c r="P53" s="413"/>
      <c r="Q53" s="413"/>
      <c r="R53" s="413"/>
      <c r="S53" s="413"/>
      <c r="T53" s="413"/>
      <c r="U53" s="413"/>
      <c r="V53" s="413"/>
      <c r="W53" s="413"/>
      <c r="X53" s="413"/>
      <c r="Y53" s="413"/>
      <c r="Z53" s="413"/>
      <c r="AA53" s="413"/>
      <c r="AB53" s="413"/>
      <c r="AC53" s="413"/>
      <c r="AD53" s="413"/>
      <c r="AE53" s="413"/>
      <c r="AF53" s="413"/>
      <c r="AG53" s="413"/>
      <c r="AH53" s="413"/>
      <c r="AI53" s="413"/>
      <c r="AJ53" s="413"/>
      <c r="AK53" s="413"/>
      <c r="AL53" s="413"/>
      <c r="AM53" s="413"/>
      <c r="AN53" s="413"/>
      <c r="AO53" s="414"/>
      <c r="AP53" s="413"/>
      <c r="AQ53" s="413"/>
      <c r="AR53" s="413"/>
      <c r="AS53" s="413"/>
      <c r="AT53" s="413"/>
      <c r="AU53" s="413"/>
      <c r="AV53" s="413"/>
      <c r="AW53" s="413"/>
      <c r="AX53" s="413"/>
      <c r="AY53" s="414"/>
      <c r="AZ53" s="413"/>
      <c r="BA53" s="413"/>
      <c r="BB53" s="413"/>
      <c r="BC53" s="413"/>
      <c r="BD53" s="413"/>
      <c r="BE53" s="413"/>
      <c r="BF53" s="413"/>
      <c r="BG53" s="413"/>
      <c r="BH53" s="413"/>
      <c r="BI53" s="414"/>
      <c r="BJ53" s="413"/>
      <c r="BK53" s="413"/>
      <c r="BL53" s="413"/>
      <c r="BM53" s="413"/>
      <c r="BN53" s="413"/>
      <c r="BO53" s="413"/>
      <c r="BP53" s="413"/>
      <c r="BQ53" s="413"/>
      <c r="BR53" s="413"/>
      <c r="BS53" s="413"/>
      <c r="BT53" s="413"/>
      <c r="BU53" s="413"/>
      <c r="BV53" s="413"/>
      <c r="BW53" s="413"/>
      <c r="BX53" s="413"/>
      <c r="BY53" s="413"/>
      <c r="BZ53" s="413"/>
      <c r="CA53" s="413"/>
      <c r="CB53" s="413"/>
      <c r="CC53" s="413"/>
      <c r="CD53" s="413"/>
      <c r="CE53" s="413"/>
      <c r="CF53" s="413"/>
      <c r="CG53" s="413"/>
      <c r="CH53" s="413"/>
      <c r="CI53" s="413"/>
      <c r="CJ53" s="413"/>
      <c r="CK53" s="413"/>
      <c r="CL53" s="413"/>
      <c r="CM53" s="414"/>
      <c r="CN53" s="413"/>
      <c r="CO53" s="413"/>
      <c r="CP53" s="413"/>
      <c r="CQ53" s="413"/>
      <c r="CR53" s="413"/>
      <c r="CS53" s="413"/>
      <c r="CT53" s="413"/>
      <c r="CU53" s="413"/>
      <c r="CV53" s="413"/>
      <c r="CW53" s="414"/>
      <c r="CX53" s="413"/>
      <c r="CY53" s="413"/>
      <c r="CZ53" s="413"/>
      <c r="DA53" s="413"/>
      <c r="DB53" s="413"/>
      <c r="DC53" s="413"/>
      <c r="DD53" s="413"/>
      <c r="DE53" s="413"/>
      <c r="DF53" s="413"/>
      <c r="DG53" s="414"/>
      <c r="DH53" s="413"/>
      <c r="DI53" s="413"/>
      <c r="DJ53" s="413"/>
      <c r="DK53" s="413"/>
      <c r="DL53" s="413"/>
      <c r="DM53" s="413"/>
      <c r="DN53" s="413"/>
      <c r="DO53" s="413"/>
      <c r="DP53" s="413"/>
      <c r="DQ53" s="414"/>
      <c r="DR53" s="413"/>
      <c r="DS53" s="413"/>
      <c r="DT53" s="413"/>
      <c r="DU53" s="413"/>
      <c r="DV53" s="413"/>
      <c r="DW53" s="413"/>
      <c r="DX53" s="413"/>
      <c r="DY53" s="413"/>
      <c r="DZ53" s="413"/>
      <c r="EA53" s="413"/>
      <c r="EB53" s="413"/>
      <c r="EC53" s="413"/>
      <c r="ED53" s="413"/>
      <c r="EE53" s="413"/>
      <c r="EF53" s="413"/>
      <c r="EG53" s="413"/>
      <c r="EH53" s="413"/>
      <c r="EI53" s="413"/>
      <c r="EJ53" s="413"/>
      <c r="EK53" s="413"/>
      <c r="EL53" s="413"/>
      <c r="EM53" s="452"/>
      <c r="EN53" s="413"/>
      <c r="EO53" s="453"/>
      <c r="EP53" s="413"/>
      <c r="EQ53" s="434"/>
      <c r="ER53" s="434"/>
      <c r="ES53" s="434"/>
      <c r="ET53" s="434"/>
      <c r="EU53" s="434"/>
      <c r="EV53" s="434"/>
      <c r="EW53" s="434"/>
      <c r="EX53" s="434"/>
      <c r="EY53" s="434"/>
      <c r="EZ53" s="434"/>
      <c r="FA53" s="434"/>
      <c r="FB53" s="434"/>
      <c r="FC53" s="399"/>
      <c r="FD53" s="399"/>
      <c r="FE53" s="399"/>
      <c r="FF53" s="399"/>
      <c r="FG53" s="415"/>
      <c r="FH53" s="415"/>
      <c r="FI53" s="415"/>
      <c r="FJ53" s="415"/>
      <c r="FK53" s="415"/>
      <c r="FL53" s="415"/>
      <c r="FM53" s="415"/>
    </row>
    <row r="54" spans="1:169" hidden="1">
      <c r="A54" s="410"/>
      <c r="B54" s="57" t="s">
        <v>153</v>
      </c>
      <c r="C54" s="412"/>
      <c r="D54" s="412"/>
      <c r="E54" s="412"/>
      <c r="F54" s="412"/>
      <c r="G54" s="412"/>
      <c r="H54" s="412"/>
      <c r="I54" s="412"/>
      <c r="J54" s="412"/>
      <c r="K54" s="412"/>
      <c r="L54" s="412"/>
      <c r="M54" s="413"/>
      <c r="N54" s="413"/>
      <c r="O54" s="413"/>
      <c r="P54" s="413"/>
      <c r="Q54" s="413"/>
      <c r="R54" s="413"/>
      <c r="S54" s="413"/>
      <c r="T54" s="413"/>
      <c r="U54" s="413"/>
      <c r="V54" s="413"/>
      <c r="W54" s="413"/>
      <c r="X54" s="413"/>
      <c r="Y54" s="413"/>
      <c r="Z54" s="413"/>
      <c r="AA54" s="413"/>
      <c r="AB54" s="413"/>
      <c r="AC54" s="413"/>
      <c r="AD54" s="413"/>
      <c r="AE54" s="413"/>
      <c r="AF54" s="413"/>
      <c r="AG54" s="413"/>
      <c r="AH54" s="413"/>
      <c r="AI54" s="413"/>
      <c r="AJ54" s="413"/>
      <c r="AK54" s="413"/>
      <c r="AL54" s="413"/>
      <c r="AM54" s="413"/>
      <c r="AN54" s="413"/>
      <c r="AO54" s="414"/>
      <c r="AP54" s="413"/>
      <c r="AQ54" s="413"/>
      <c r="AR54" s="413"/>
      <c r="AS54" s="413"/>
      <c r="AT54" s="413"/>
      <c r="AU54" s="413"/>
      <c r="AV54" s="413"/>
      <c r="AW54" s="413"/>
      <c r="AX54" s="413"/>
      <c r="AY54" s="414"/>
      <c r="AZ54" s="413"/>
      <c r="BA54" s="413"/>
      <c r="BB54" s="413"/>
      <c r="BC54" s="413"/>
      <c r="BD54" s="413"/>
      <c r="BE54" s="413"/>
      <c r="BF54" s="413"/>
      <c r="BG54" s="413"/>
      <c r="BH54" s="413"/>
      <c r="BI54" s="414"/>
      <c r="BJ54" s="413"/>
      <c r="BK54" s="413"/>
      <c r="BL54" s="413"/>
      <c r="BM54" s="413"/>
      <c r="BN54" s="413"/>
      <c r="BO54" s="413"/>
      <c r="BP54" s="413"/>
      <c r="BQ54" s="413"/>
      <c r="BR54" s="413"/>
      <c r="BS54" s="413"/>
      <c r="BT54" s="413"/>
      <c r="BU54" s="413"/>
      <c r="BV54" s="413"/>
      <c r="BW54" s="413"/>
      <c r="BX54" s="413"/>
      <c r="BY54" s="413"/>
      <c r="BZ54" s="413"/>
      <c r="CA54" s="413"/>
      <c r="CB54" s="413"/>
      <c r="CC54" s="413"/>
      <c r="CD54" s="413"/>
      <c r="CE54" s="413"/>
      <c r="CF54" s="413"/>
      <c r="CG54" s="413"/>
      <c r="CH54" s="413"/>
      <c r="CI54" s="413"/>
      <c r="CJ54" s="413"/>
      <c r="CK54" s="413"/>
      <c r="CL54" s="413"/>
      <c r="CM54" s="414"/>
      <c r="CN54" s="413"/>
      <c r="CO54" s="413"/>
      <c r="CP54" s="413"/>
      <c r="CQ54" s="413"/>
      <c r="CR54" s="413"/>
      <c r="CS54" s="413"/>
      <c r="CT54" s="413"/>
      <c r="CU54" s="413"/>
      <c r="CV54" s="413"/>
      <c r="CW54" s="414"/>
      <c r="CX54" s="413"/>
      <c r="CY54" s="413"/>
      <c r="CZ54" s="413"/>
      <c r="DA54" s="413"/>
      <c r="DB54" s="413"/>
      <c r="DC54" s="413"/>
      <c r="DD54" s="413"/>
      <c r="DE54" s="413"/>
      <c r="DF54" s="413"/>
      <c r="DG54" s="414"/>
      <c r="DH54" s="413"/>
      <c r="DI54" s="413"/>
      <c r="DJ54" s="413"/>
      <c r="DK54" s="413"/>
      <c r="DL54" s="413"/>
      <c r="DM54" s="413"/>
      <c r="DN54" s="413"/>
      <c r="DO54" s="413"/>
      <c r="DP54" s="413"/>
      <c r="DQ54" s="414"/>
      <c r="DR54" s="413"/>
      <c r="DS54" s="413"/>
      <c r="DT54" s="413"/>
      <c r="DU54" s="413"/>
      <c r="DV54" s="413"/>
      <c r="DW54" s="413"/>
      <c r="DX54" s="413"/>
      <c r="DY54" s="413"/>
      <c r="DZ54" s="413"/>
      <c r="EA54" s="413"/>
      <c r="EB54" s="413"/>
      <c r="EC54" s="413"/>
      <c r="ED54" s="413"/>
      <c r="EE54" s="413"/>
      <c r="EF54" s="413"/>
      <c r="EG54" s="413"/>
      <c r="EH54" s="413"/>
      <c r="EI54" s="413"/>
      <c r="EJ54" s="413"/>
      <c r="EK54" s="413"/>
      <c r="EL54" s="413"/>
      <c r="EM54" s="452"/>
      <c r="EN54" s="413"/>
      <c r="EO54" s="453"/>
      <c r="EP54" s="413"/>
      <c r="EQ54" s="434"/>
      <c r="ER54" s="434"/>
      <c r="ES54" s="434"/>
      <c r="ET54" s="434"/>
      <c r="EU54" s="434"/>
      <c r="EV54" s="434"/>
      <c r="EW54" s="434"/>
      <c r="EX54" s="434"/>
      <c r="EY54" s="434"/>
      <c r="EZ54" s="434"/>
      <c r="FA54" s="434"/>
      <c r="FB54" s="434"/>
      <c r="FC54" s="399"/>
      <c r="FD54" s="399"/>
      <c r="FE54" s="399"/>
      <c r="FF54" s="399"/>
      <c r="FG54" s="415"/>
      <c r="FH54" s="415"/>
      <c r="FI54" s="415"/>
      <c r="FJ54" s="415"/>
      <c r="FK54" s="415"/>
      <c r="FL54" s="415"/>
      <c r="FM54" s="415"/>
    </row>
    <row r="55" spans="1:169" hidden="1">
      <c r="A55" s="410"/>
      <c r="B55" s="57"/>
      <c r="C55" s="412"/>
      <c r="D55" s="412"/>
      <c r="E55" s="412"/>
      <c r="F55" s="412"/>
      <c r="G55" s="412"/>
      <c r="H55" s="412"/>
      <c r="I55" s="412"/>
      <c r="J55" s="412"/>
      <c r="K55" s="412"/>
      <c r="L55" s="412"/>
      <c r="M55" s="413"/>
      <c r="N55" s="413"/>
      <c r="O55" s="413"/>
      <c r="P55" s="413"/>
      <c r="Q55" s="413"/>
      <c r="R55" s="413"/>
      <c r="S55" s="413"/>
      <c r="T55" s="413"/>
      <c r="U55" s="413"/>
      <c r="V55" s="413"/>
      <c r="W55" s="413"/>
      <c r="X55" s="413"/>
      <c r="Y55" s="413"/>
      <c r="Z55" s="413"/>
      <c r="AA55" s="413"/>
      <c r="AB55" s="413"/>
      <c r="AC55" s="413"/>
      <c r="AD55" s="413"/>
      <c r="AE55" s="413"/>
      <c r="AF55" s="413"/>
      <c r="AG55" s="413"/>
      <c r="AH55" s="413"/>
      <c r="AI55" s="413"/>
      <c r="AJ55" s="413"/>
      <c r="AK55" s="413"/>
      <c r="AL55" s="413"/>
      <c r="AM55" s="413"/>
      <c r="AN55" s="413"/>
      <c r="AO55" s="414"/>
      <c r="AP55" s="413"/>
      <c r="AQ55" s="413"/>
      <c r="AR55" s="413"/>
      <c r="AS55" s="413"/>
      <c r="AT55" s="413"/>
      <c r="AU55" s="413"/>
      <c r="AV55" s="413"/>
      <c r="AW55" s="413"/>
      <c r="AX55" s="413"/>
      <c r="AY55" s="414"/>
      <c r="AZ55" s="413"/>
      <c r="BA55" s="413"/>
      <c r="BB55" s="413"/>
      <c r="BC55" s="413"/>
      <c r="BD55" s="413"/>
      <c r="BE55" s="413"/>
      <c r="BF55" s="413"/>
      <c r="BG55" s="413"/>
      <c r="BH55" s="413"/>
      <c r="BI55" s="414"/>
      <c r="BJ55" s="413"/>
      <c r="BK55" s="413"/>
      <c r="BL55" s="413"/>
      <c r="BM55" s="413"/>
      <c r="BN55" s="413"/>
      <c r="BO55" s="413"/>
      <c r="BP55" s="413"/>
      <c r="BQ55" s="413"/>
      <c r="BR55" s="413"/>
      <c r="BS55" s="413"/>
      <c r="BT55" s="413"/>
      <c r="BU55" s="413"/>
      <c r="BV55" s="413"/>
      <c r="BW55" s="413"/>
      <c r="BX55" s="413"/>
      <c r="BY55" s="413"/>
      <c r="BZ55" s="413"/>
      <c r="CA55" s="413"/>
      <c r="CB55" s="413"/>
      <c r="CC55" s="413"/>
      <c r="CD55" s="413"/>
      <c r="CE55" s="413"/>
      <c r="CF55" s="413"/>
      <c r="CG55" s="413"/>
      <c r="CH55" s="413"/>
      <c r="CI55" s="413"/>
      <c r="CJ55" s="413"/>
      <c r="CK55" s="413"/>
      <c r="CL55" s="413"/>
      <c r="CM55" s="414"/>
      <c r="CN55" s="413"/>
      <c r="CO55" s="413"/>
      <c r="CP55" s="413"/>
      <c r="CQ55" s="413"/>
      <c r="CR55" s="413"/>
      <c r="CS55" s="413"/>
      <c r="CT55" s="413"/>
      <c r="CU55" s="413"/>
      <c r="CV55" s="413"/>
      <c r="CW55" s="414"/>
      <c r="CX55" s="413"/>
      <c r="CY55" s="413"/>
      <c r="CZ55" s="413"/>
      <c r="DA55" s="413"/>
      <c r="DB55" s="413"/>
      <c r="DC55" s="413"/>
      <c r="DD55" s="413"/>
      <c r="DE55" s="413"/>
      <c r="DF55" s="413"/>
      <c r="DG55" s="414"/>
      <c r="DH55" s="413"/>
      <c r="DI55" s="413"/>
      <c r="DJ55" s="413"/>
      <c r="DK55" s="413"/>
      <c r="DL55" s="413"/>
      <c r="DM55" s="413"/>
      <c r="DN55" s="413"/>
      <c r="DO55" s="413"/>
      <c r="DP55" s="413"/>
      <c r="DQ55" s="414"/>
      <c r="DR55" s="413"/>
      <c r="DS55" s="413"/>
      <c r="DT55" s="413"/>
      <c r="DU55" s="413"/>
      <c r="DV55" s="413"/>
      <c r="DW55" s="413"/>
      <c r="DX55" s="413"/>
      <c r="DY55" s="413"/>
      <c r="DZ55" s="413"/>
      <c r="EA55" s="413"/>
      <c r="EB55" s="413"/>
      <c r="EC55" s="413"/>
      <c r="ED55" s="413"/>
      <c r="EE55" s="413"/>
      <c r="EF55" s="413"/>
      <c r="EG55" s="413"/>
      <c r="EH55" s="413"/>
      <c r="EI55" s="413"/>
      <c r="EJ55" s="413"/>
      <c r="EK55" s="413"/>
      <c r="EL55" s="413"/>
      <c r="EM55" s="452"/>
      <c r="EN55" s="413"/>
      <c r="EO55" s="453"/>
      <c r="EP55" s="413"/>
      <c r="EQ55" s="434"/>
      <c r="ER55" s="434"/>
      <c r="ES55" s="434"/>
      <c r="ET55" s="434"/>
      <c r="EU55" s="434"/>
      <c r="EV55" s="434"/>
      <c r="EW55" s="434"/>
      <c r="EX55" s="434"/>
      <c r="EY55" s="434"/>
      <c r="EZ55" s="434"/>
      <c r="FA55" s="434"/>
      <c r="FB55" s="434"/>
      <c r="FC55" s="399"/>
      <c r="FD55" s="399"/>
      <c r="FE55" s="399"/>
      <c r="FF55" s="399"/>
      <c r="FG55" s="415"/>
      <c r="FH55" s="415"/>
      <c r="FI55" s="415"/>
      <c r="FJ55" s="415"/>
      <c r="FK55" s="415"/>
      <c r="FL55" s="415"/>
      <c r="FM55" s="415"/>
    </row>
    <row r="56" spans="1:169" hidden="1">
      <c r="A56" s="462" t="s">
        <v>17</v>
      </c>
      <c r="B56" s="57" t="s">
        <v>1325</v>
      </c>
      <c r="C56" s="412"/>
      <c r="D56" s="412"/>
      <c r="E56" s="412"/>
      <c r="F56" s="412"/>
      <c r="G56" s="412"/>
      <c r="H56" s="412"/>
      <c r="I56" s="412"/>
      <c r="J56" s="412"/>
      <c r="K56" s="412"/>
      <c r="L56" s="412"/>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3"/>
      <c r="AO56" s="414"/>
      <c r="AP56" s="413"/>
      <c r="AQ56" s="413"/>
      <c r="AR56" s="413"/>
      <c r="AS56" s="413"/>
      <c r="AT56" s="413"/>
      <c r="AU56" s="413"/>
      <c r="AV56" s="413"/>
      <c r="AW56" s="413"/>
      <c r="AX56" s="413"/>
      <c r="AY56" s="414"/>
      <c r="AZ56" s="413"/>
      <c r="BA56" s="413"/>
      <c r="BB56" s="413"/>
      <c r="BC56" s="413"/>
      <c r="BD56" s="413"/>
      <c r="BE56" s="413"/>
      <c r="BF56" s="413"/>
      <c r="BG56" s="413"/>
      <c r="BH56" s="413"/>
      <c r="BI56" s="414"/>
      <c r="BJ56" s="413"/>
      <c r="BK56" s="413"/>
      <c r="BL56" s="413"/>
      <c r="BM56" s="413"/>
      <c r="BN56" s="413"/>
      <c r="BO56" s="413"/>
      <c r="BP56" s="413"/>
      <c r="BQ56" s="413"/>
      <c r="BR56" s="413"/>
      <c r="BS56" s="413"/>
      <c r="BT56" s="413"/>
      <c r="BU56" s="413"/>
      <c r="BV56" s="413"/>
      <c r="BW56" s="413"/>
      <c r="BX56" s="413"/>
      <c r="BY56" s="413"/>
      <c r="BZ56" s="413"/>
      <c r="CA56" s="413"/>
      <c r="CB56" s="413"/>
      <c r="CC56" s="413"/>
      <c r="CD56" s="413"/>
      <c r="CE56" s="413"/>
      <c r="CF56" s="413"/>
      <c r="CG56" s="413"/>
      <c r="CH56" s="413"/>
      <c r="CI56" s="413"/>
      <c r="CJ56" s="413"/>
      <c r="CK56" s="413"/>
      <c r="CL56" s="413"/>
      <c r="CM56" s="414"/>
      <c r="CN56" s="413"/>
      <c r="CO56" s="413"/>
      <c r="CP56" s="413"/>
      <c r="CQ56" s="413"/>
      <c r="CR56" s="413"/>
      <c r="CS56" s="413"/>
      <c r="CT56" s="413"/>
      <c r="CU56" s="413"/>
      <c r="CV56" s="413"/>
      <c r="CW56" s="414"/>
      <c r="CX56" s="413"/>
      <c r="CY56" s="413"/>
      <c r="CZ56" s="413"/>
      <c r="DA56" s="413"/>
      <c r="DB56" s="413"/>
      <c r="DC56" s="413"/>
      <c r="DD56" s="413"/>
      <c r="DE56" s="413"/>
      <c r="DF56" s="413"/>
      <c r="DG56" s="414"/>
      <c r="DH56" s="413"/>
      <c r="DI56" s="413"/>
      <c r="DJ56" s="413"/>
      <c r="DK56" s="413"/>
      <c r="DL56" s="413"/>
      <c r="DM56" s="413"/>
      <c r="DN56" s="413"/>
      <c r="DO56" s="413"/>
      <c r="DP56" s="413"/>
      <c r="DQ56" s="414"/>
      <c r="DR56" s="413"/>
      <c r="DS56" s="413"/>
      <c r="DT56" s="413"/>
      <c r="DU56" s="413"/>
      <c r="DV56" s="413"/>
      <c r="DW56" s="413"/>
      <c r="DX56" s="413"/>
      <c r="DY56" s="413"/>
      <c r="DZ56" s="413"/>
      <c r="EA56" s="413"/>
      <c r="EB56" s="413"/>
      <c r="EC56" s="413"/>
      <c r="ED56" s="413"/>
      <c r="EE56" s="413"/>
      <c r="EF56" s="413"/>
      <c r="EG56" s="413"/>
      <c r="EH56" s="413"/>
      <c r="EI56" s="413"/>
      <c r="EJ56" s="413"/>
      <c r="EK56" s="413"/>
      <c r="EL56" s="413"/>
      <c r="EM56" s="452"/>
      <c r="EN56" s="413"/>
      <c r="EO56" s="453"/>
      <c r="EP56" s="413"/>
      <c r="EQ56" s="434"/>
      <c r="ER56" s="434"/>
      <c r="ES56" s="434"/>
      <c r="ET56" s="434"/>
      <c r="EU56" s="434"/>
      <c r="EV56" s="434"/>
      <c r="EW56" s="434"/>
      <c r="EX56" s="434"/>
      <c r="EY56" s="434"/>
      <c r="EZ56" s="434"/>
      <c r="FA56" s="434"/>
      <c r="FB56" s="434"/>
      <c r="FC56" s="399"/>
      <c r="FD56" s="399"/>
      <c r="FE56" s="399"/>
      <c r="FF56" s="399"/>
      <c r="FG56" s="415"/>
      <c r="FH56" s="415"/>
      <c r="FI56" s="415"/>
      <c r="FJ56" s="415"/>
      <c r="FK56" s="415"/>
      <c r="FL56" s="415"/>
      <c r="FM56" s="415"/>
    </row>
    <row r="57" spans="1:169" hidden="1">
      <c r="A57" s="410" t="s">
        <v>82</v>
      </c>
      <c r="B57" s="459" t="s">
        <v>1326</v>
      </c>
      <c r="C57" s="412"/>
      <c r="D57" s="412"/>
      <c r="E57" s="412"/>
      <c r="F57" s="412"/>
      <c r="G57" s="412"/>
      <c r="H57" s="412"/>
      <c r="I57" s="412"/>
      <c r="J57" s="412"/>
      <c r="K57" s="412"/>
      <c r="L57" s="412"/>
      <c r="M57" s="413"/>
      <c r="N57" s="413"/>
      <c r="O57" s="413"/>
      <c r="P57" s="413"/>
      <c r="Q57" s="413"/>
      <c r="R57" s="413"/>
      <c r="S57" s="413"/>
      <c r="T57" s="413"/>
      <c r="U57" s="413"/>
      <c r="V57" s="413"/>
      <c r="W57" s="413"/>
      <c r="X57" s="413"/>
      <c r="Y57" s="413"/>
      <c r="Z57" s="413"/>
      <c r="AA57" s="413"/>
      <c r="AB57" s="413"/>
      <c r="AC57" s="413"/>
      <c r="AD57" s="413"/>
      <c r="AE57" s="413"/>
      <c r="AF57" s="413"/>
      <c r="AG57" s="413"/>
      <c r="AH57" s="413"/>
      <c r="AI57" s="413"/>
      <c r="AJ57" s="413"/>
      <c r="AK57" s="413"/>
      <c r="AL57" s="413"/>
      <c r="AM57" s="413"/>
      <c r="AN57" s="413"/>
      <c r="AO57" s="414"/>
      <c r="AP57" s="413"/>
      <c r="AQ57" s="413"/>
      <c r="AR57" s="413"/>
      <c r="AS57" s="413"/>
      <c r="AT57" s="413"/>
      <c r="AU57" s="413"/>
      <c r="AV57" s="413"/>
      <c r="AW57" s="413"/>
      <c r="AX57" s="413"/>
      <c r="AY57" s="414"/>
      <c r="AZ57" s="413"/>
      <c r="BA57" s="413"/>
      <c r="BB57" s="413"/>
      <c r="BC57" s="413"/>
      <c r="BD57" s="413"/>
      <c r="BE57" s="413"/>
      <c r="BF57" s="413"/>
      <c r="BG57" s="413"/>
      <c r="BH57" s="413"/>
      <c r="BI57" s="414"/>
      <c r="BJ57" s="413"/>
      <c r="BK57" s="413"/>
      <c r="BL57" s="413"/>
      <c r="BM57" s="413"/>
      <c r="BN57" s="413"/>
      <c r="BO57" s="413"/>
      <c r="BP57" s="413"/>
      <c r="BQ57" s="413"/>
      <c r="BR57" s="413"/>
      <c r="BS57" s="413"/>
      <c r="BT57" s="413"/>
      <c r="BU57" s="413"/>
      <c r="BV57" s="413"/>
      <c r="BW57" s="413"/>
      <c r="BX57" s="413"/>
      <c r="BY57" s="413"/>
      <c r="BZ57" s="413"/>
      <c r="CA57" s="413"/>
      <c r="CB57" s="413"/>
      <c r="CC57" s="413"/>
      <c r="CD57" s="413"/>
      <c r="CE57" s="413"/>
      <c r="CF57" s="413"/>
      <c r="CG57" s="413"/>
      <c r="CH57" s="413"/>
      <c r="CI57" s="413"/>
      <c r="CJ57" s="413"/>
      <c r="CK57" s="413"/>
      <c r="CL57" s="413"/>
      <c r="CM57" s="414"/>
      <c r="CN57" s="413"/>
      <c r="CO57" s="413"/>
      <c r="CP57" s="413"/>
      <c r="CQ57" s="413"/>
      <c r="CR57" s="413"/>
      <c r="CS57" s="413"/>
      <c r="CT57" s="413"/>
      <c r="CU57" s="413"/>
      <c r="CV57" s="413"/>
      <c r="CW57" s="414"/>
      <c r="CX57" s="413"/>
      <c r="CY57" s="413"/>
      <c r="CZ57" s="413"/>
      <c r="DA57" s="413"/>
      <c r="DB57" s="413"/>
      <c r="DC57" s="413"/>
      <c r="DD57" s="413"/>
      <c r="DE57" s="413"/>
      <c r="DF57" s="413"/>
      <c r="DG57" s="414"/>
      <c r="DH57" s="413"/>
      <c r="DI57" s="413"/>
      <c r="DJ57" s="413"/>
      <c r="DK57" s="413"/>
      <c r="DL57" s="413"/>
      <c r="DM57" s="413"/>
      <c r="DN57" s="413"/>
      <c r="DO57" s="413"/>
      <c r="DP57" s="413"/>
      <c r="DQ57" s="414"/>
      <c r="DR57" s="413"/>
      <c r="DS57" s="413"/>
      <c r="DT57" s="413"/>
      <c r="DU57" s="413"/>
      <c r="DV57" s="413"/>
      <c r="DW57" s="413"/>
      <c r="DX57" s="413"/>
      <c r="DY57" s="413"/>
      <c r="DZ57" s="413"/>
      <c r="EA57" s="413"/>
      <c r="EB57" s="413"/>
      <c r="EC57" s="413"/>
      <c r="ED57" s="413"/>
      <c r="EE57" s="413"/>
      <c r="EF57" s="413"/>
      <c r="EG57" s="413"/>
      <c r="EH57" s="413"/>
      <c r="EI57" s="413"/>
      <c r="EJ57" s="413"/>
      <c r="EK57" s="413"/>
      <c r="EL57" s="413"/>
      <c r="EM57" s="452"/>
      <c r="EN57" s="413"/>
      <c r="EO57" s="453"/>
      <c r="EP57" s="413"/>
      <c r="EQ57" s="434"/>
      <c r="ER57" s="434"/>
      <c r="ES57" s="434"/>
      <c r="ET57" s="434"/>
      <c r="EU57" s="434"/>
      <c r="EV57" s="434"/>
      <c r="EW57" s="434"/>
      <c r="EX57" s="434"/>
      <c r="EY57" s="434"/>
      <c r="EZ57" s="434"/>
      <c r="FA57" s="434"/>
      <c r="FB57" s="434"/>
      <c r="FC57" s="399"/>
      <c r="FD57" s="399"/>
      <c r="FE57" s="399"/>
      <c r="FF57" s="399"/>
      <c r="FG57" s="415"/>
      <c r="FH57" s="415"/>
      <c r="FI57" s="415"/>
      <c r="FJ57" s="415"/>
      <c r="FK57" s="415"/>
      <c r="FL57" s="415"/>
      <c r="FM57" s="415"/>
    </row>
    <row r="58" spans="1:169" hidden="1">
      <c r="A58" s="410" t="s">
        <v>83</v>
      </c>
      <c r="B58" s="459" t="s">
        <v>1327</v>
      </c>
      <c r="C58" s="412"/>
      <c r="D58" s="412"/>
      <c r="E58" s="412"/>
      <c r="F58" s="412"/>
      <c r="G58" s="412"/>
      <c r="H58" s="412"/>
      <c r="I58" s="412"/>
      <c r="J58" s="412"/>
      <c r="K58" s="412"/>
      <c r="L58" s="412"/>
      <c r="M58" s="413"/>
      <c r="N58" s="413"/>
      <c r="O58" s="413"/>
      <c r="P58" s="413"/>
      <c r="Q58" s="413"/>
      <c r="R58" s="413"/>
      <c r="S58" s="413"/>
      <c r="T58" s="413"/>
      <c r="U58" s="413"/>
      <c r="V58" s="413"/>
      <c r="W58" s="413"/>
      <c r="X58" s="413"/>
      <c r="Y58" s="413"/>
      <c r="Z58" s="413"/>
      <c r="AA58" s="413"/>
      <c r="AB58" s="413"/>
      <c r="AC58" s="413"/>
      <c r="AD58" s="413"/>
      <c r="AE58" s="413"/>
      <c r="AF58" s="413"/>
      <c r="AG58" s="413"/>
      <c r="AH58" s="413"/>
      <c r="AI58" s="413"/>
      <c r="AJ58" s="413"/>
      <c r="AK58" s="413"/>
      <c r="AL58" s="413"/>
      <c r="AM58" s="413"/>
      <c r="AN58" s="413"/>
      <c r="AO58" s="414"/>
      <c r="AP58" s="413"/>
      <c r="AQ58" s="413"/>
      <c r="AR58" s="413"/>
      <c r="AS58" s="413"/>
      <c r="AT58" s="413"/>
      <c r="AU58" s="413"/>
      <c r="AV58" s="413"/>
      <c r="AW58" s="413"/>
      <c r="AX58" s="413"/>
      <c r="AY58" s="414"/>
      <c r="AZ58" s="413"/>
      <c r="BA58" s="413"/>
      <c r="BB58" s="413"/>
      <c r="BC58" s="413"/>
      <c r="BD58" s="413"/>
      <c r="BE58" s="413"/>
      <c r="BF58" s="413"/>
      <c r="BG58" s="413"/>
      <c r="BH58" s="413"/>
      <c r="BI58" s="414"/>
      <c r="BJ58" s="413"/>
      <c r="BK58" s="413"/>
      <c r="BL58" s="413"/>
      <c r="BM58" s="413"/>
      <c r="BN58" s="413"/>
      <c r="BO58" s="413"/>
      <c r="BP58" s="413"/>
      <c r="BQ58" s="413"/>
      <c r="BR58" s="413"/>
      <c r="BS58" s="413"/>
      <c r="BT58" s="413"/>
      <c r="BU58" s="413"/>
      <c r="BV58" s="413"/>
      <c r="BW58" s="413"/>
      <c r="BX58" s="413"/>
      <c r="BY58" s="413"/>
      <c r="BZ58" s="413"/>
      <c r="CA58" s="413"/>
      <c r="CB58" s="413"/>
      <c r="CC58" s="413"/>
      <c r="CD58" s="413"/>
      <c r="CE58" s="413"/>
      <c r="CF58" s="413"/>
      <c r="CG58" s="413"/>
      <c r="CH58" s="413"/>
      <c r="CI58" s="413"/>
      <c r="CJ58" s="413"/>
      <c r="CK58" s="413"/>
      <c r="CL58" s="413"/>
      <c r="CM58" s="414"/>
      <c r="CN58" s="413"/>
      <c r="CO58" s="413"/>
      <c r="CP58" s="413"/>
      <c r="CQ58" s="413"/>
      <c r="CR58" s="413"/>
      <c r="CS58" s="413"/>
      <c r="CT58" s="413"/>
      <c r="CU58" s="413"/>
      <c r="CV58" s="413"/>
      <c r="CW58" s="414"/>
      <c r="CX58" s="413"/>
      <c r="CY58" s="413"/>
      <c r="CZ58" s="413"/>
      <c r="DA58" s="413"/>
      <c r="DB58" s="413"/>
      <c r="DC58" s="413"/>
      <c r="DD58" s="413"/>
      <c r="DE58" s="413"/>
      <c r="DF58" s="413"/>
      <c r="DG58" s="414"/>
      <c r="DH58" s="413"/>
      <c r="DI58" s="413"/>
      <c r="DJ58" s="413"/>
      <c r="DK58" s="413"/>
      <c r="DL58" s="413"/>
      <c r="DM58" s="413"/>
      <c r="DN58" s="413"/>
      <c r="DO58" s="413"/>
      <c r="DP58" s="413"/>
      <c r="DQ58" s="414"/>
      <c r="DR58" s="413"/>
      <c r="DS58" s="413"/>
      <c r="DT58" s="413"/>
      <c r="DU58" s="413"/>
      <c r="DV58" s="413"/>
      <c r="DW58" s="413"/>
      <c r="DX58" s="413"/>
      <c r="DY58" s="413"/>
      <c r="DZ58" s="413"/>
      <c r="EA58" s="413"/>
      <c r="EB58" s="413"/>
      <c r="EC58" s="413"/>
      <c r="ED58" s="413"/>
      <c r="EE58" s="413"/>
      <c r="EF58" s="413"/>
      <c r="EG58" s="413"/>
      <c r="EH58" s="413"/>
      <c r="EI58" s="413"/>
      <c r="EJ58" s="413"/>
      <c r="EK58" s="413"/>
      <c r="EL58" s="413"/>
      <c r="EM58" s="452"/>
      <c r="EN58" s="413"/>
      <c r="EO58" s="453"/>
      <c r="EP58" s="413"/>
      <c r="EQ58" s="434"/>
      <c r="ER58" s="434"/>
      <c r="ES58" s="434"/>
      <c r="ET58" s="434"/>
      <c r="EU58" s="434"/>
      <c r="EV58" s="434"/>
      <c r="EW58" s="434"/>
      <c r="EX58" s="434"/>
      <c r="EY58" s="434"/>
      <c r="EZ58" s="434"/>
      <c r="FA58" s="434"/>
      <c r="FB58" s="434"/>
      <c r="FC58" s="399"/>
      <c r="FD58" s="399"/>
      <c r="FE58" s="399"/>
      <c r="FF58" s="399"/>
      <c r="FG58" s="415"/>
      <c r="FH58" s="415"/>
      <c r="FI58" s="415"/>
      <c r="FJ58" s="415"/>
      <c r="FK58" s="415"/>
      <c r="FL58" s="415"/>
      <c r="FM58" s="415"/>
    </row>
    <row r="59" spans="1:169" hidden="1">
      <c r="A59" s="410" t="s">
        <v>86</v>
      </c>
      <c r="B59" s="459" t="s">
        <v>1328</v>
      </c>
      <c r="C59" s="412"/>
      <c r="D59" s="412"/>
      <c r="E59" s="412"/>
      <c r="F59" s="412"/>
      <c r="G59" s="412"/>
      <c r="H59" s="412"/>
      <c r="I59" s="412"/>
      <c r="J59" s="412"/>
      <c r="K59" s="412"/>
      <c r="L59" s="412"/>
      <c r="M59" s="413"/>
      <c r="N59" s="413"/>
      <c r="O59" s="413"/>
      <c r="P59" s="413"/>
      <c r="Q59" s="413"/>
      <c r="R59" s="413"/>
      <c r="S59" s="413"/>
      <c r="T59" s="413"/>
      <c r="U59" s="413"/>
      <c r="V59" s="413"/>
      <c r="W59" s="413"/>
      <c r="X59" s="413"/>
      <c r="Y59" s="413"/>
      <c r="Z59" s="413"/>
      <c r="AA59" s="413"/>
      <c r="AB59" s="413"/>
      <c r="AC59" s="413"/>
      <c r="AD59" s="413"/>
      <c r="AE59" s="413"/>
      <c r="AF59" s="413"/>
      <c r="AG59" s="413"/>
      <c r="AH59" s="413"/>
      <c r="AI59" s="413"/>
      <c r="AJ59" s="413"/>
      <c r="AK59" s="413"/>
      <c r="AL59" s="413"/>
      <c r="AM59" s="413"/>
      <c r="AN59" s="413"/>
      <c r="AO59" s="414"/>
      <c r="AP59" s="413"/>
      <c r="AQ59" s="413"/>
      <c r="AR59" s="413"/>
      <c r="AS59" s="413"/>
      <c r="AT59" s="413"/>
      <c r="AU59" s="413"/>
      <c r="AV59" s="413"/>
      <c r="AW59" s="413"/>
      <c r="AX59" s="413"/>
      <c r="AY59" s="414"/>
      <c r="AZ59" s="413"/>
      <c r="BA59" s="413"/>
      <c r="BB59" s="413"/>
      <c r="BC59" s="413"/>
      <c r="BD59" s="413"/>
      <c r="BE59" s="413"/>
      <c r="BF59" s="413"/>
      <c r="BG59" s="413"/>
      <c r="BH59" s="413"/>
      <c r="BI59" s="414"/>
      <c r="BJ59" s="413"/>
      <c r="BK59" s="413"/>
      <c r="BL59" s="413"/>
      <c r="BM59" s="413"/>
      <c r="BN59" s="413"/>
      <c r="BO59" s="413"/>
      <c r="BP59" s="413"/>
      <c r="BQ59" s="413"/>
      <c r="BR59" s="413"/>
      <c r="BS59" s="413"/>
      <c r="BT59" s="413"/>
      <c r="BU59" s="413"/>
      <c r="BV59" s="413"/>
      <c r="BW59" s="413"/>
      <c r="BX59" s="413"/>
      <c r="BY59" s="413"/>
      <c r="BZ59" s="413"/>
      <c r="CA59" s="413"/>
      <c r="CB59" s="413"/>
      <c r="CC59" s="413"/>
      <c r="CD59" s="413"/>
      <c r="CE59" s="413"/>
      <c r="CF59" s="413"/>
      <c r="CG59" s="413"/>
      <c r="CH59" s="413"/>
      <c r="CI59" s="413"/>
      <c r="CJ59" s="413"/>
      <c r="CK59" s="413"/>
      <c r="CL59" s="413"/>
      <c r="CM59" s="414"/>
      <c r="CN59" s="413"/>
      <c r="CO59" s="413"/>
      <c r="CP59" s="413"/>
      <c r="CQ59" s="413"/>
      <c r="CR59" s="413"/>
      <c r="CS59" s="413"/>
      <c r="CT59" s="413"/>
      <c r="CU59" s="413"/>
      <c r="CV59" s="413"/>
      <c r="CW59" s="414"/>
      <c r="CX59" s="413"/>
      <c r="CY59" s="413"/>
      <c r="CZ59" s="413"/>
      <c r="DA59" s="413"/>
      <c r="DB59" s="413"/>
      <c r="DC59" s="413"/>
      <c r="DD59" s="413"/>
      <c r="DE59" s="413"/>
      <c r="DF59" s="413"/>
      <c r="DG59" s="414"/>
      <c r="DH59" s="413"/>
      <c r="DI59" s="413"/>
      <c r="DJ59" s="413"/>
      <c r="DK59" s="413"/>
      <c r="DL59" s="413"/>
      <c r="DM59" s="413"/>
      <c r="DN59" s="413"/>
      <c r="DO59" s="413"/>
      <c r="DP59" s="413"/>
      <c r="DQ59" s="414"/>
      <c r="DR59" s="413"/>
      <c r="DS59" s="413"/>
      <c r="DT59" s="413"/>
      <c r="DU59" s="413"/>
      <c r="DV59" s="413"/>
      <c r="DW59" s="413"/>
      <c r="DX59" s="413"/>
      <c r="DY59" s="413"/>
      <c r="DZ59" s="413"/>
      <c r="EA59" s="413"/>
      <c r="EB59" s="413"/>
      <c r="EC59" s="413"/>
      <c r="ED59" s="413"/>
      <c r="EE59" s="413"/>
      <c r="EF59" s="413"/>
      <c r="EG59" s="413"/>
      <c r="EH59" s="413"/>
      <c r="EI59" s="413"/>
      <c r="EJ59" s="413"/>
      <c r="EK59" s="413"/>
      <c r="EL59" s="413"/>
      <c r="EM59" s="452"/>
      <c r="EN59" s="413"/>
      <c r="EO59" s="453"/>
      <c r="EP59" s="413"/>
      <c r="EQ59" s="434"/>
      <c r="ER59" s="434"/>
      <c r="ES59" s="434"/>
      <c r="ET59" s="434"/>
      <c r="EU59" s="434"/>
      <c r="EV59" s="434"/>
      <c r="EW59" s="434"/>
      <c r="EX59" s="434"/>
      <c r="EY59" s="434"/>
      <c r="EZ59" s="434"/>
      <c r="FA59" s="434"/>
      <c r="FB59" s="434"/>
      <c r="FC59" s="399"/>
      <c r="FD59" s="399"/>
      <c r="FE59" s="399"/>
      <c r="FF59" s="399"/>
      <c r="FG59" s="415"/>
      <c r="FH59" s="415"/>
      <c r="FI59" s="415"/>
      <c r="FJ59" s="415"/>
      <c r="FK59" s="415"/>
      <c r="FL59" s="415"/>
      <c r="FM59" s="415"/>
    </row>
    <row r="60" spans="1:169" hidden="1">
      <c r="A60" s="410" t="s">
        <v>217</v>
      </c>
      <c r="B60" s="459" t="s">
        <v>1329</v>
      </c>
      <c r="C60" s="412"/>
      <c r="D60" s="412"/>
      <c r="E60" s="412"/>
      <c r="F60" s="412"/>
      <c r="G60" s="412"/>
      <c r="H60" s="412"/>
      <c r="I60" s="412"/>
      <c r="J60" s="412"/>
      <c r="K60" s="412"/>
      <c r="L60" s="412"/>
      <c r="M60" s="413"/>
      <c r="N60" s="413"/>
      <c r="O60" s="413"/>
      <c r="P60" s="413"/>
      <c r="Q60" s="413"/>
      <c r="R60" s="413"/>
      <c r="S60" s="413"/>
      <c r="T60" s="413"/>
      <c r="U60" s="413"/>
      <c r="V60" s="413"/>
      <c r="W60" s="413"/>
      <c r="X60" s="413"/>
      <c r="Y60" s="413"/>
      <c r="Z60" s="413"/>
      <c r="AA60" s="413"/>
      <c r="AB60" s="413"/>
      <c r="AC60" s="413"/>
      <c r="AD60" s="413"/>
      <c r="AE60" s="413"/>
      <c r="AF60" s="413"/>
      <c r="AG60" s="413"/>
      <c r="AH60" s="413"/>
      <c r="AI60" s="413"/>
      <c r="AJ60" s="413"/>
      <c r="AK60" s="413"/>
      <c r="AL60" s="413"/>
      <c r="AM60" s="413"/>
      <c r="AN60" s="413"/>
      <c r="AO60" s="414"/>
      <c r="AP60" s="413"/>
      <c r="AQ60" s="413"/>
      <c r="AR60" s="413"/>
      <c r="AS60" s="413"/>
      <c r="AT60" s="413"/>
      <c r="AU60" s="413"/>
      <c r="AV60" s="413"/>
      <c r="AW60" s="413"/>
      <c r="AX60" s="413"/>
      <c r="AY60" s="414"/>
      <c r="AZ60" s="413"/>
      <c r="BA60" s="413"/>
      <c r="BB60" s="413"/>
      <c r="BC60" s="413"/>
      <c r="BD60" s="413"/>
      <c r="BE60" s="413"/>
      <c r="BF60" s="413"/>
      <c r="BG60" s="413"/>
      <c r="BH60" s="413"/>
      <c r="BI60" s="414"/>
      <c r="BJ60" s="413"/>
      <c r="BK60" s="413"/>
      <c r="BL60" s="413"/>
      <c r="BM60" s="413"/>
      <c r="BN60" s="413"/>
      <c r="BO60" s="413"/>
      <c r="BP60" s="413"/>
      <c r="BQ60" s="413"/>
      <c r="BR60" s="413"/>
      <c r="BS60" s="413"/>
      <c r="BT60" s="413"/>
      <c r="BU60" s="413"/>
      <c r="BV60" s="413"/>
      <c r="BW60" s="413"/>
      <c r="BX60" s="413"/>
      <c r="BY60" s="413"/>
      <c r="BZ60" s="413"/>
      <c r="CA60" s="413"/>
      <c r="CB60" s="413"/>
      <c r="CC60" s="413"/>
      <c r="CD60" s="413"/>
      <c r="CE60" s="413"/>
      <c r="CF60" s="413"/>
      <c r="CG60" s="413"/>
      <c r="CH60" s="413"/>
      <c r="CI60" s="413"/>
      <c r="CJ60" s="413"/>
      <c r="CK60" s="413"/>
      <c r="CL60" s="413"/>
      <c r="CM60" s="414"/>
      <c r="CN60" s="413"/>
      <c r="CO60" s="413"/>
      <c r="CP60" s="413"/>
      <c r="CQ60" s="413"/>
      <c r="CR60" s="413"/>
      <c r="CS60" s="413"/>
      <c r="CT60" s="413"/>
      <c r="CU60" s="413"/>
      <c r="CV60" s="413"/>
      <c r="CW60" s="414"/>
      <c r="CX60" s="413"/>
      <c r="CY60" s="413"/>
      <c r="CZ60" s="413"/>
      <c r="DA60" s="413"/>
      <c r="DB60" s="413"/>
      <c r="DC60" s="413"/>
      <c r="DD60" s="413"/>
      <c r="DE60" s="413"/>
      <c r="DF60" s="413"/>
      <c r="DG60" s="414"/>
      <c r="DH60" s="413"/>
      <c r="DI60" s="413"/>
      <c r="DJ60" s="413"/>
      <c r="DK60" s="413"/>
      <c r="DL60" s="413"/>
      <c r="DM60" s="413"/>
      <c r="DN60" s="413"/>
      <c r="DO60" s="413"/>
      <c r="DP60" s="413"/>
      <c r="DQ60" s="414"/>
      <c r="DR60" s="413"/>
      <c r="DS60" s="413"/>
      <c r="DT60" s="413"/>
      <c r="DU60" s="413"/>
      <c r="DV60" s="413"/>
      <c r="DW60" s="413"/>
      <c r="DX60" s="413"/>
      <c r="DY60" s="413"/>
      <c r="DZ60" s="413"/>
      <c r="EA60" s="413"/>
      <c r="EB60" s="413"/>
      <c r="EC60" s="413"/>
      <c r="ED60" s="413"/>
      <c r="EE60" s="413"/>
      <c r="EF60" s="413"/>
      <c r="EG60" s="413"/>
      <c r="EH60" s="413"/>
      <c r="EI60" s="413"/>
      <c r="EJ60" s="413"/>
      <c r="EK60" s="413"/>
      <c r="EL60" s="413"/>
      <c r="EM60" s="452"/>
      <c r="EN60" s="413"/>
      <c r="EO60" s="453"/>
      <c r="EP60" s="413"/>
      <c r="EQ60" s="434"/>
      <c r="ER60" s="434"/>
      <c r="ES60" s="434"/>
      <c r="ET60" s="434"/>
      <c r="EU60" s="434"/>
      <c r="EV60" s="434"/>
      <c r="EW60" s="434"/>
      <c r="EX60" s="434"/>
      <c r="EY60" s="434"/>
      <c r="EZ60" s="434"/>
      <c r="FA60" s="434"/>
      <c r="FB60" s="434"/>
      <c r="FC60" s="399"/>
      <c r="FD60" s="399"/>
      <c r="FE60" s="399"/>
      <c r="FF60" s="399"/>
      <c r="FG60" s="415"/>
      <c r="FH60" s="415"/>
      <c r="FI60" s="415"/>
      <c r="FJ60" s="415"/>
      <c r="FK60" s="415"/>
      <c r="FL60" s="415"/>
      <c r="FM60" s="415"/>
    </row>
    <row r="61" spans="1:169" hidden="1">
      <c r="A61" s="410" t="s">
        <v>218</v>
      </c>
      <c r="B61" s="459" t="s">
        <v>1330</v>
      </c>
      <c r="C61" s="412"/>
      <c r="D61" s="412"/>
      <c r="E61" s="412"/>
      <c r="F61" s="412"/>
      <c r="G61" s="412"/>
      <c r="H61" s="412"/>
      <c r="I61" s="412"/>
      <c r="J61" s="412"/>
      <c r="K61" s="412"/>
      <c r="L61" s="412"/>
      <c r="M61" s="413"/>
      <c r="N61" s="413"/>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4"/>
      <c r="AP61" s="413"/>
      <c r="AQ61" s="413"/>
      <c r="AR61" s="413"/>
      <c r="AS61" s="413"/>
      <c r="AT61" s="413"/>
      <c r="AU61" s="413"/>
      <c r="AV61" s="413"/>
      <c r="AW61" s="413"/>
      <c r="AX61" s="413"/>
      <c r="AY61" s="414"/>
      <c r="AZ61" s="413"/>
      <c r="BA61" s="413"/>
      <c r="BB61" s="413"/>
      <c r="BC61" s="413"/>
      <c r="BD61" s="413"/>
      <c r="BE61" s="413"/>
      <c r="BF61" s="413"/>
      <c r="BG61" s="413"/>
      <c r="BH61" s="413"/>
      <c r="BI61" s="414"/>
      <c r="BJ61" s="413"/>
      <c r="BK61" s="413"/>
      <c r="BL61" s="413"/>
      <c r="BM61" s="413"/>
      <c r="BN61" s="413"/>
      <c r="BO61" s="413"/>
      <c r="BP61" s="413"/>
      <c r="BQ61" s="413"/>
      <c r="BR61" s="413"/>
      <c r="BS61" s="413"/>
      <c r="BT61" s="413"/>
      <c r="BU61" s="413"/>
      <c r="BV61" s="413"/>
      <c r="BW61" s="413"/>
      <c r="BX61" s="413"/>
      <c r="BY61" s="413"/>
      <c r="BZ61" s="413"/>
      <c r="CA61" s="413"/>
      <c r="CB61" s="413"/>
      <c r="CC61" s="413"/>
      <c r="CD61" s="413"/>
      <c r="CE61" s="413"/>
      <c r="CF61" s="413"/>
      <c r="CG61" s="413"/>
      <c r="CH61" s="413"/>
      <c r="CI61" s="413"/>
      <c r="CJ61" s="413"/>
      <c r="CK61" s="413"/>
      <c r="CL61" s="413"/>
      <c r="CM61" s="414"/>
      <c r="CN61" s="413"/>
      <c r="CO61" s="413"/>
      <c r="CP61" s="413"/>
      <c r="CQ61" s="413"/>
      <c r="CR61" s="413"/>
      <c r="CS61" s="413"/>
      <c r="CT61" s="413"/>
      <c r="CU61" s="413"/>
      <c r="CV61" s="413"/>
      <c r="CW61" s="414"/>
      <c r="CX61" s="413"/>
      <c r="CY61" s="413"/>
      <c r="CZ61" s="413"/>
      <c r="DA61" s="413"/>
      <c r="DB61" s="413"/>
      <c r="DC61" s="413"/>
      <c r="DD61" s="413"/>
      <c r="DE61" s="413"/>
      <c r="DF61" s="413"/>
      <c r="DG61" s="414"/>
      <c r="DH61" s="413"/>
      <c r="DI61" s="413"/>
      <c r="DJ61" s="413"/>
      <c r="DK61" s="413"/>
      <c r="DL61" s="413"/>
      <c r="DM61" s="413"/>
      <c r="DN61" s="413"/>
      <c r="DO61" s="413"/>
      <c r="DP61" s="413"/>
      <c r="DQ61" s="414"/>
      <c r="DR61" s="413"/>
      <c r="DS61" s="413"/>
      <c r="DT61" s="413"/>
      <c r="DU61" s="413"/>
      <c r="DV61" s="413"/>
      <c r="DW61" s="413"/>
      <c r="DX61" s="413"/>
      <c r="DY61" s="413"/>
      <c r="DZ61" s="413"/>
      <c r="EA61" s="413"/>
      <c r="EB61" s="413"/>
      <c r="EC61" s="413"/>
      <c r="ED61" s="413"/>
      <c r="EE61" s="413"/>
      <c r="EF61" s="413"/>
      <c r="EG61" s="413"/>
      <c r="EH61" s="413"/>
      <c r="EI61" s="413"/>
      <c r="EJ61" s="413"/>
      <c r="EK61" s="413"/>
      <c r="EL61" s="413"/>
      <c r="EM61" s="452"/>
      <c r="EN61" s="413"/>
      <c r="EO61" s="453"/>
      <c r="EP61" s="413"/>
      <c r="EQ61" s="434"/>
      <c r="ER61" s="434"/>
      <c r="ES61" s="434"/>
      <c r="ET61" s="434"/>
      <c r="EU61" s="434"/>
      <c r="EV61" s="434"/>
      <c r="EW61" s="434"/>
      <c r="EX61" s="434"/>
      <c r="EY61" s="434"/>
      <c r="EZ61" s="434"/>
      <c r="FA61" s="434"/>
      <c r="FB61" s="434"/>
      <c r="FC61" s="399"/>
      <c r="FD61" s="399"/>
      <c r="FE61" s="399"/>
      <c r="FF61" s="399"/>
      <c r="FG61" s="415"/>
      <c r="FH61" s="415"/>
      <c r="FI61" s="415"/>
      <c r="FJ61" s="415"/>
      <c r="FK61" s="415"/>
      <c r="FL61" s="415"/>
      <c r="FM61" s="415"/>
    </row>
    <row r="62" spans="1:169" hidden="1">
      <c r="A62" s="410" t="s">
        <v>1297</v>
      </c>
      <c r="B62" s="463"/>
      <c r="C62" s="412"/>
      <c r="D62" s="412"/>
      <c r="E62" s="412"/>
      <c r="F62" s="412"/>
      <c r="G62" s="412"/>
      <c r="H62" s="412"/>
      <c r="I62" s="412"/>
      <c r="J62" s="412"/>
      <c r="K62" s="412"/>
      <c r="L62" s="412"/>
      <c r="M62" s="413"/>
      <c r="N62" s="413"/>
      <c r="O62" s="413"/>
      <c r="P62" s="413"/>
      <c r="Q62" s="413"/>
      <c r="R62" s="413"/>
      <c r="S62" s="413"/>
      <c r="T62" s="413"/>
      <c r="U62" s="413"/>
      <c r="V62" s="413"/>
      <c r="W62" s="413"/>
      <c r="X62" s="413"/>
      <c r="Y62" s="413"/>
      <c r="Z62" s="413"/>
      <c r="AA62" s="413"/>
      <c r="AB62" s="413"/>
      <c r="AC62" s="413"/>
      <c r="AD62" s="413"/>
      <c r="AE62" s="413"/>
      <c r="AF62" s="413"/>
      <c r="AG62" s="413"/>
      <c r="AH62" s="413"/>
      <c r="AI62" s="413"/>
      <c r="AJ62" s="413"/>
      <c r="AK62" s="413"/>
      <c r="AL62" s="413"/>
      <c r="AM62" s="413"/>
      <c r="AN62" s="413"/>
      <c r="AO62" s="414"/>
      <c r="AP62" s="413"/>
      <c r="AQ62" s="413"/>
      <c r="AR62" s="413"/>
      <c r="AS62" s="413"/>
      <c r="AT62" s="413"/>
      <c r="AU62" s="413"/>
      <c r="AV62" s="413"/>
      <c r="AW62" s="413"/>
      <c r="AX62" s="413"/>
      <c r="AY62" s="414"/>
      <c r="AZ62" s="413"/>
      <c r="BA62" s="413"/>
      <c r="BB62" s="413"/>
      <c r="BC62" s="413"/>
      <c r="BD62" s="413"/>
      <c r="BE62" s="413"/>
      <c r="BF62" s="413"/>
      <c r="BG62" s="413"/>
      <c r="BH62" s="413"/>
      <c r="BI62" s="414"/>
      <c r="BJ62" s="413"/>
      <c r="BK62" s="413"/>
      <c r="BL62" s="413"/>
      <c r="BM62" s="413"/>
      <c r="BN62" s="413"/>
      <c r="BO62" s="413"/>
      <c r="BP62" s="413"/>
      <c r="BQ62" s="413"/>
      <c r="BR62" s="413"/>
      <c r="BS62" s="413"/>
      <c r="BT62" s="413"/>
      <c r="BU62" s="413"/>
      <c r="BV62" s="413"/>
      <c r="BW62" s="413"/>
      <c r="BX62" s="413"/>
      <c r="BY62" s="413"/>
      <c r="BZ62" s="413"/>
      <c r="CA62" s="413"/>
      <c r="CB62" s="413"/>
      <c r="CC62" s="413"/>
      <c r="CD62" s="413"/>
      <c r="CE62" s="413"/>
      <c r="CF62" s="413"/>
      <c r="CG62" s="413"/>
      <c r="CH62" s="413"/>
      <c r="CI62" s="413"/>
      <c r="CJ62" s="413"/>
      <c r="CK62" s="413"/>
      <c r="CL62" s="413"/>
      <c r="CM62" s="414"/>
      <c r="CN62" s="413"/>
      <c r="CO62" s="413"/>
      <c r="CP62" s="413"/>
      <c r="CQ62" s="413"/>
      <c r="CR62" s="413"/>
      <c r="CS62" s="413"/>
      <c r="CT62" s="413"/>
      <c r="CU62" s="413"/>
      <c r="CV62" s="413"/>
      <c r="CW62" s="414"/>
      <c r="CX62" s="413"/>
      <c r="CY62" s="413"/>
      <c r="CZ62" s="413"/>
      <c r="DA62" s="413"/>
      <c r="DB62" s="413"/>
      <c r="DC62" s="413"/>
      <c r="DD62" s="413"/>
      <c r="DE62" s="413"/>
      <c r="DF62" s="413"/>
      <c r="DG62" s="414"/>
      <c r="DH62" s="413"/>
      <c r="DI62" s="413"/>
      <c r="DJ62" s="413"/>
      <c r="DK62" s="413"/>
      <c r="DL62" s="413"/>
      <c r="DM62" s="413"/>
      <c r="DN62" s="413"/>
      <c r="DO62" s="413"/>
      <c r="DP62" s="413"/>
      <c r="DQ62" s="414"/>
      <c r="DR62" s="413"/>
      <c r="DS62" s="413"/>
      <c r="DT62" s="413"/>
      <c r="DU62" s="413"/>
      <c r="DV62" s="413"/>
      <c r="DW62" s="413"/>
      <c r="DX62" s="413"/>
      <c r="DY62" s="413"/>
      <c r="DZ62" s="413"/>
      <c r="EA62" s="413"/>
      <c r="EB62" s="413"/>
      <c r="EC62" s="413"/>
      <c r="ED62" s="413"/>
      <c r="EE62" s="413"/>
      <c r="EF62" s="413"/>
      <c r="EG62" s="413"/>
      <c r="EH62" s="413"/>
      <c r="EI62" s="413"/>
      <c r="EJ62" s="413"/>
      <c r="EK62" s="413"/>
      <c r="EL62" s="413"/>
      <c r="EM62" s="452"/>
      <c r="EN62" s="413"/>
      <c r="EO62" s="453"/>
      <c r="EP62" s="413"/>
      <c r="EQ62" s="434"/>
      <c r="ER62" s="434"/>
      <c r="ES62" s="434"/>
      <c r="ET62" s="434"/>
      <c r="EU62" s="434"/>
      <c r="EV62" s="434"/>
      <c r="EW62" s="434"/>
      <c r="EX62" s="434"/>
      <c r="EY62" s="434"/>
      <c r="EZ62" s="434"/>
      <c r="FA62" s="434"/>
      <c r="FB62" s="434"/>
      <c r="FC62" s="399"/>
      <c r="FD62" s="399"/>
      <c r="FE62" s="399"/>
      <c r="FF62" s="399"/>
      <c r="FG62" s="415"/>
      <c r="FH62" s="415"/>
      <c r="FI62" s="415"/>
      <c r="FJ62" s="415"/>
      <c r="FK62" s="415"/>
      <c r="FL62" s="415"/>
      <c r="FM62" s="415"/>
    </row>
    <row r="63" spans="1:169" hidden="1">
      <c r="A63" s="410"/>
      <c r="B63" s="463" t="s">
        <v>672</v>
      </c>
      <c r="C63" s="412"/>
      <c r="D63" s="412"/>
      <c r="E63" s="412"/>
      <c r="F63" s="412"/>
      <c r="G63" s="412"/>
      <c r="H63" s="412"/>
      <c r="I63" s="412"/>
      <c r="J63" s="412"/>
      <c r="K63" s="412"/>
      <c r="L63" s="412"/>
      <c r="M63" s="413"/>
      <c r="N63" s="413"/>
      <c r="O63" s="413"/>
      <c r="P63" s="413"/>
      <c r="Q63" s="413"/>
      <c r="R63" s="413"/>
      <c r="S63" s="413"/>
      <c r="T63" s="413"/>
      <c r="U63" s="413"/>
      <c r="V63" s="413"/>
      <c r="W63" s="413"/>
      <c r="X63" s="413"/>
      <c r="Y63" s="413"/>
      <c r="Z63" s="413"/>
      <c r="AA63" s="413"/>
      <c r="AB63" s="413"/>
      <c r="AC63" s="413"/>
      <c r="AD63" s="413"/>
      <c r="AE63" s="413"/>
      <c r="AF63" s="413"/>
      <c r="AG63" s="413"/>
      <c r="AH63" s="413"/>
      <c r="AI63" s="413"/>
      <c r="AJ63" s="413"/>
      <c r="AK63" s="413"/>
      <c r="AL63" s="413"/>
      <c r="AM63" s="413"/>
      <c r="AN63" s="413"/>
      <c r="AO63" s="414"/>
      <c r="AP63" s="413"/>
      <c r="AQ63" s="413"/>
      <c r="AR63" s="413"/>
      <c r="AS63" s="413"/>
      <c r="AT63" s="413"/>
      <c r="AU63" s="413"/>
      <c r="AV63" s="413"/>
      <c r="AW63" s="413"/>
      <c r="AX63" s="413"/>
      <c r="AY63" s="414"/>
      <c r="AZ63" s="413"/>
      <c r="BA63" s="413"/>
      <c r="BB63" s="413"/>
      <c r="BC63" s="413"/>
      <c r="BD63" s="413"/>
      <c r="BE63" s="413"/>
      <c r="BF63" s="413"/>
      <c r="BG63" s="413"/>
      <c r="BH63" s="413"/>
      <c r="BI63" s="414"/>
      <c r="BJ63" s="413"/>
      <c r="BK63" s="413"/>
      <c r="BL63" s="413"/>
      <c r="BM63" s="413"/>
      <c r="BN63" s="413"/>
      <c r="BO63" s="413"/>
      <c r="BP63" s="413"/>
      <c r="BQ63" s="413"/>
      <c r="BR63" s="413"/>
      <c r="BS63" s="413"/>
      <c r="BT63" s="413"/>
      <c r="BU63" s="413"/>
      <c r="BV63" s="413"/>
      <c r="BW63" s="413"/>
      <c r="BX63" s="413"/>
      <c r="BY63" s="413"/>
      <c r="BZ63" s="413"/>
      <c r="CA63" s="413"/>
      <c r="CB63" s="413"/>
      <c r="CC63" s="413"/>
      <c r="CD63" s="413"/>
      <c r="CE63" s="413"/>
      <c r="CF63" s="413"/>
      <c r="CG63" s="413"/>
      <c r="CH63" s="413"/>
      <c r="CI63" s="413"/>
      <c r="CJ63" s="413"/>
      <c r="CK63" s="413"/>
      <c r="CL63" s="413"/>
      <c r="CM63" s="414"/>
      <c r="CN63" s="413"/>
      <c r="CO63" s="413"/>
      <c r="CP63" s="413"/>
      <c r="CQ63" s="413"/>
      <c r="CR63" s="413"/>
      <c r="CS63" s="413"/>
      <c r="CT63" s="413"/>
      <c r="CU63" s="413"/>
      <c r="CV63" s="413"/>
      <c r="CW63" s="414"/>
      <c r="CX63" s="413"/>
      <c r="CY63" s="413"/>
      <c r="CZ63" s="413"/>
      <c r="DA63" s="413"/>
      <c r="DB63" s="413"/>
      <c r="DC63" s="413"/>
      <c r="DD63" s="413"/>
      <c r="DE63" s="413"/>
      <c r="DF63" s="413"/>
      <c r="DG63" s="414"/>
      <c r="DH63" s="413"/>
      <c r="DI63" s="413"/>
      <c r="DJ63" s="413"/>
      <c r="DK63" s="413"/>
      <c r="DL63" s="413"/>
      <c r="DM63" s="413"/>
      <c r="DN63" s="413"/>
      <c r="DO63" s="413"/>
      <c r="DP63" s="413"/>
      <c r="DQ63" s="414"/>
      <c r="DR63" s="413"/>
      <c r="DS63" s="413"/>
      <c r="DT63" s="413"/>
      <c r="DU63" s="413"/>
      <c r="DV63" s="413"/>
      <c r="DW63" s="413"/>
      <c r="DX63" s="413"/>
      <c r="DY63" s="413"/>
      <c r="DZ63" s="413"/>
      <c r="EA63" s="413"/>
      <c r="EB63" s="413"/>
      <c r="EC63" s="413"/>
      <c r="ED63" s="413"/>
      <c r="EE63" s="413"/>
      <c r="EF63" s="413"/>
      <c r="EG63" s="413"/>
      <c r="EH63" s="413"/>
      <c r="EI63" s="413"/>
      <c r="EJ63" s="413"/>
      <c r="EK63" s="413"/>
      <c r="EL63" s="413"/>
      <c r="EM63" s="452"/>
      <c r="EN63" s="413"/>
      <c r="EO63" s="453"/>
      <c r="EP63" s="413"/>
      <c r="EQ63" s="434"/>
      <c r="ER63" s="434"/>
      <c r="ES63" s="434"/>
      <c r="ET63" s="434"/>
      <c r="EU63" s="434"/>
      <c r="EV63" s="434"/>
      <c r="EW63" s="434"/>
      <c r="EX63" s="434"/>
      <c r="EY63" s="434"/>
      <c r="EZ63" s="434"/>
      <c r="FA63" s="434"/>
      <c r="FB63" s="434"/>
      <c r="FC63" s="399"/>
      <c r="FD63" s="399"/>
      <c r="FE63" s="399"/>
      <c r="FF63" s="399"/>
      <c r="FG63" s="415"/>
      <c r="FH63" s="415"/>
      <c r="FI63" s="415"/>
      <c r="FJ63" s="415"/>
      <c r="FK63" s="415"/>
      <c r="FL63" s="415"/>
      <c r="FM63" s="415"/>
    </row>
    <row r="64" spans="1:169" hidden="1">
      <c r="A64" s="410"/>
      <c r="B64" s="57" t="s">
        <v>153</v>
      </c>
      <c r="C64" s="412"/>
      <c r="D64" s="412"/>
      <c r="E64" s="412"/>
      <c r="F64" s="412"/>
      <c r="G64" s="412"/>
      <c r="H64" s="412"/>
      <c r="I64" s="412"/>
      <c r="J64" s="412"/>
      <c r="K64" s="412"/>
      <c r="L64" s="412"/>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3"/>
      <c r="AL64" s="413"/>
      <c r="AM64" s="413"/>
      <c r="AN64" s="413"/>
      <c r="AO64" s="414"/>
      <c r="AP64" s="413"/>
      <c r="AQ64" s="413"/>
      <c r="AR64" s="413"/>
      <c r="AS64" s="413"/>
      <c r="AT64" s="413"/>
      <c r="AU64" s="413"/>
      <c r="AV64" s="413"/>
      <c r="AW64" s="413"/>
      <c r="AX64" s="413"/>
      <c r="AY64" s="414"/>
      <c r="AZ64" s="413"/>
      <c r="BA64" s="413"/>
      <c r="BB64" s="413"/>
      <c r="BC64" s="413"/>
      <c r="BD64" s="413"/>
      <c r="BE64" s="413"/>
      <c r="BF64" s="413"/>
      <c r="BG64" s="413"/>
      <c r="BH64" s="413"/>
      <c r="BI64" s="414"/>
      <c r="BJ64" s="413"/>
      <c r="BK64" s="413"/>
      <c r="BL64" s="413"/>
      <c r="BM64" s="413"/>
      <c r="BN64" s="413"/>
      <c r="BO64" s="413"/>
      <c r="BP64" s="413"/>
      <c r="BQ64" s="413"/>
      <c r="BR64" s="413"/>
      <c r="BS64" s="413"/>
      <c r="BT64" s="413"/>
      <c r="BU64" s="413"/>
      <c r="BV64" s="413"/>
      <c r="BW64" s="413"/>
      <c r="BX64" s="413"/>
      <c r="BY64" s="413"/>
      <c r="BZ64" s="413"/>
      <c r="CA64" s="413"/>
      <c r="CB64" s="413"/>
      <c r="CC64" s="413"/>
      <c r="CD64" s="413"/>
      <c r="CE64" s="413"/>
      <c r="CF64" s="413"/>
      <c r="CG64" s="413"/>
      <c r="CH64" s="413"/>
      <c r="CI64" s="413"/>
      <c r="CJ64" s="413"/>
      <c r="CK64" s="413"/>
      <c r="CL64" s="413"/>
      <c r="CM64" s="414"/>
      <c r="CN64" s="413"/>
      <c r="CO64" s="413"/>
      <c r="CP64" s="413"/>
      <c r="CQ64" s="413"/>
      <c r="CR64" s="413"/>
      <c r="CS64" s="413"/>
      <c r="CT64" s="413"/>
      <c r="CU64" s="413"/>
      <c r="CV64" s="413"/>
      <c r="CW64" s="414"/>
      <c r="CX64" s="413"/>
      <c r="CY64" s="413"/>
      <c r="CZ64" s="413"/>
      <c r="DA64" s="413"/>
      <c r="DB64" s="413"/>
      <c r="DC64" s="413"/>
      <c r="DD64" s="413"/>
      <c r="DE64" s="413"/>
      <c r="DF64" s="413"/>
      <c r="DG64" s="414"/>
      <c r="DH64" s="413"/>
      <c r="DI64" s="413"/>
      <c r="DJ64" s="413"/>
      <c r="DK64" s="413"/>
      <c r="DL64" s="413"/>
      <c r="DM64" s="413"/>
      <c r="DN64" s="413"/>
      <c r="DO64" s="413"/>
      <c r="DP64" s="413"/>
      <c r="DQ64" s="414"/>
      <c r="DR64" s="413"/>
      <c r="DS64" s="413"/>
      <c r="DT64" s="413"/>
      <c r="DU64" s="413"/>
      <c r="DV64" s="413"/>
      <c r="DW64" s="413"/>
      <c r="DX64" s="413"/>
      <c r="DY64" s="413"/>
      <c r="DZ64" s="413"/>
      <c r="EA64" s="413"/>
      <c r="EB64" s="413"/>
      <c r="EC64" s="413"/>
      <c r="ED64" s="413"/>
      <c r="EE64" s="413"/>
      <c r="EF64" s="413"/>
      <c r="EG64" s="413"/>
      <c r="EH64" s="413"/>
      <c r="EI64" s="413"/>
      <c r="EJ64" s="413"/>
      <c r="EK64" s="413"/>
      <c r="EL64" s="413"/>
      <c r="EM64" s="452"/>
      <c r="EN64" s="413"/>
      <c r="EO64" s="453"/>
      <c r="EP64" s="413"/>
      <c r="EQ64" s="434"/>
      <c r="ER64" s="434"/>
      <c r="ES64" s="434"/>
      <c r="ET64" s="434"/>
      <c r="EU64" s="434"/>
      <c r="EV64" s="434"/>
      <c r="EW64" s="434"/>
      <c r="EX64" s="434"/>
      <c r="EY64" s="434"/>
      <c r="EZ64" s="434"/>
      <c r="FA64" s="434"/>
      <c r="FB64" s="434"/>
      <c r="FC64" s="399"/>
      <c r="FD64" s="399"/>
      <c r="FE64" s="399"/>
      <c r="FF64" s="399"/>
      <c r="FG64" s="415"/>
      <c r="FH64" s="415"/>
      <c r="FI64" s="415"/>
      <c r="FJ64" s="415"/>
      <c r="FK64" s="415"/>
      <c r="FL64" s="415"/>
      <c r="FM64" s="415"/>
    </row>
    <row r="65" spans="1:169" hidden="1">
      <c r="A65" s="410"/>
      <c r="B65" s="460"/>
      <c r="C65" s="412"/>
      <c r="D65" s="412"/>
      <c r="E65" s="412"/>
      <c r="F65" s="412"/>
      <c r="G65" s="412"/>
      <c r="H65" s="412"/>
      <c r="I65" s="412"/>
      <c r="J65" s="412"/>
      <c r="K65" s="412"/>
      <c r="L65" s="412"/>
      <c r="M65" s="413"/>
      <c r="N65" s="413"/>
      <c r="O65" s="413"/>
      <c r="P65" s="413"/>
      <c r="Q65" s="413"/>
      <c r="R65" s="413"/>
      <c r="S65" s="413"/>
      <c r="T65" s="413"/>
      <c r="U65" s="413"/>
      <c r="V65" s="413"/>
      <c r="W65" s="413"/>
      <c r="X65" s="413"/>
      <c r="Y65" s="413"/>
      <c r="Z65" s="413"/>
      <c r="AA65" s="413"/>
      <c r="AB65" s="413"/>
      <c r="AC65" s="413"/>
      <c r="AD65" s="413"/>
      <c r="AE65" s="413"/>
      <c r="AF65" s="413"/>
      <c r="AG65" s="413"/>
      <c r="AH65" s="413"/>
      <c r="AI65" s="413"/>
      <c r="AJ65" s="413"/>
      <c r="AK65" s="413"/>
      <c r="AL65" s="413"/>
      <c r="AM65" s="413"/>
      <c r="AN65" s="413"/>
      <c r="AO65" s="414"/>
      <c r="AP65" s="413"/>
      <c r="AQ65" s="413"/>
      <c r="AR65" s="413"/>
      <c r="AS65" s="413"/>
      <c r="AT65" s="413"/>
      <c r="AU65" s="413"/>
      <c r="AV65" s="413"/>
      <c r="AW65" s="413"/>
      <c r="AX65" s="413"/>
      <c r="AY65" s="414"/>
      <c r="AZ65" s="413"/>
      <c r="BA65" s="413"/>
      <c r="BB65" s="413"/>
      <c r="BC65" s="413"/>
      <c r="BD65" s="413"/>
      <c r="BE65" s="413"/>
      <c r="BF65" s="413"/>
      <c r="BG65" s="413"/>
      <c r="BH65" s="413"/>
      <c r="BI65" s="414"/>
      <c r="BJ65" s="413"/>
      <c r="BK65" s="413"/>
      <c r="BL65" s="413"/>
      <c r="BM65" s="413"/>
      <c r="BN65" s="413"/>
      <c r="BO65" s="413"/>
      <c r="BP65" s="413"/>
      <c r="BQ65" s="413"/>
      <c r="BR65" s="413"/>
      <c r="BS65" s="413"/>
      <c r="BT65" s="413"/>
      <c r="BU65" s="413"/>
      <c r="BV65" s="413"/>
      <c r="BW65" s="413"/>
      <c r="BX65" s="413"/>
      <c r="BY65" s="413"/>
      <c r="BZ65" s="413"/>
      <c r="CA65" s="413"/>
      <c r="CB65" s="413"/>
      <c r="CC65" s="413"/>
      <c r="CD65" s="413"/>
      <c r="CE65" s="413"/>
      <c r="CF65" s="413"/>
      <c r="CG65" s="413"/>
      <c r="CH65" s="413"/>
      <c r="CI65" s="413"/>
      <c r="CJ65" s="413"/>
      <c r="CK65" s="413"/>
      <c r="CL65" s="413"/>
      <c r="CM65" s="414"/>
      <c r="CN65" s="413"/>
      <c r="CO65" s="413"/>
      <c r="CP65" s="413"/>
      <c r="CQ65" s="413"/>
      <c r="CR65" s="413"/>
      <c r="CS65" s="413"/>
      <c r="CT65" s="413"/>
      <c r="CU65" s="413"/>
      <c r="CV65" s="413"/>
      <c r="CW65" s="414"/>
      <c r="CX65" s="413"/>
      <c r="CY65" s="413"/>
      <c r="CZ65" s="413"/>
      <c r="DA65" s="413"/>
      <c r="DB65" s="413"/>
      <c r="DC65" s="413"/>
      <c r="DD65" s="413"/>
      <c r="DE65" s="413"/>
      <c r="DF65" s="413"/>
      <c r="DG65" s="414"/>
      <c r="DH65" s="413"/>
      <c r="DI65" s="413"/>
      <c r="DJ65" s="413"/>
      <c r="DK65" s="413"/>
      <c r="DL65" s="413"/>
      <c r="DM65" s="413"/>
      <c r="DN65" s="413"/>
      <c r="DO65" s="413"/>
      <c r="DP65" s="413"/>
      <c r="DQ65" s="414"/>
      <c r="DR65" s="413"/>
      <c r="DS65" s="413"/>
      <c r="DT65" s="413"/>
      <c r="DU65" s="413"/>
      <c r="DV65" s="413"/>
      <c r="DW65" s="413"/>
      <c r="DX65" s="413"/>
      <c r="DY65" s="413"/>
      <c r="DZ65" s="413"/>
      <c r="EA65" s="413"/>
      <c r="EB65" s="413"/>
      <c r="EC65" s="413"/>
      <c r="ED65" s="413"/>
      <c r="EE65" s="413"/>
      <c r="EF65" s="413"/>
      <c r="EG65" s="413"/>
      <c r="EH65" s="413"/>
      <c r="EI65" s="413"/>
      <c r="EJ65" s="413"/>
      <c r="EK65" s="413"/>
      <c r="EL65" s="413"/>
      <c r="EM65" s="452"/>
      <c r="EN65" s="413"/>
      <c r="EO65" s="453"/>
      <c r="EP65" s="413"/>
      <c r="EQ65" s="434"/>
      <c r="ER65" s="434"/>
      <c r="ES65" s="434"/>
      <c r="ET65" s="434"/>
      <c r="EU65" s="434"/>
      <c r="EV65" s="434"/>
      <c r="EW65" s="434"/>
      <c r="EX65" s="434"/>
      <c r="EY65" s="434"/>
      <c r="EZ65" s="434"/>
      <c r="FA65" s="434"/>
      <c r="FB65" s="434"/>
      <c r="FC65" s="399"/>
      <c r="FD65" s="399"/>
      <c r="FE65" s="399"/>
      <c r="FF65" s="399"/>
      <c r="FG65" s="415"/>
      <c r="FH65" s="415"/>
      <c r="FI65" s="415"/>
      <c r="FJ65" s="415"/>
      <c r="FK65" s="415"/>
      <c r="FL65" s="415"/>
      <c r="FM65" s="415"/>
    </row>
    <row r="66" spans="1:169" hidden="1">
      <c r="A66" s="462" t="s">
        <v>20</v>
      </c>
      <c r="B66" s="460" t="s">
        <v>1331</v>
      </c>
      <c r="C66" s="412"/>
      <c r="D66" s="412"/>
      <c r="E66" s="412"/>
      <c r="F66" s="412"/>
      <c r="G66" s="412"/>
      <c r="H66" s="412"/>
      <c r="I66" s="412"/>
      <c r="J66" s="412"/>
      <c r="K66" s="412"/>
      <c r="L66" s="412"/>
      <c r="M66" s="413"/>
      <c r="N66" s="413"/>
      <c r="O66" s="413"/>
      <c r="P66" s="413"/>
      <c r="Q66" s="413"/>
      <c r="R66" s="413"/>
      <c r="S66" s="413"/>
      <c r="T66" s="413"/>
      <c r="U66" s="413"/>
      <c r="V66" s="413"/>
      <c r="W66" s="413"/>
      <c r="X66" s="413"/>
      <c r="Y66" s="413"/>
      <c r="Z66" s="413"/>
      <c r="AA66" s="413"/>
      <c r="AB66" s="413"/>
      <c r="AC66" s="413"/>
      <c r="AD66" s="413"/>
      <c r="AE66" s="413"/>
      <c r="AF66" s="413"/>
      <c r="AG66" s="413"/>
      <c r="AH66" s="413"/>
      <c r="AI66" s="413"/>
      <c r="AJ66" s="413"/>
      <c r="AK66" s="413"/>
      <c r="AL66" s="413"/>
      <c r="AM66" s="413"/>
      <c r="AN66" s="413"/>
      <c r="AO66" s="414"/>
      <c r="AP66" s="413"/>
      <c r="AQ66" s="413"/>
      <c r="AR66" s="413"/>
      <c r="AS66" s="413"/>
      <c r="AT66" s="413"/>
      <c r="AU66" s="413"/>
      <c r="AV66" s="413"/>
      <c r="AW66" s="413"/>
      <c r="AX66" s="413"/>
      <c r="AY66" s="414"/>
      <c r="AZ66" s="413"/>
      <c r="BA66" s="413"/>
      <c r="BB66" s="413"/>
      <c r="BC66" s="413"/>
      <c r="BD66" s="413"/>
      <c r="BE66" s="413"/>
      <c r="BF66" s="413"/>
      <c r="BG66" s="413"/>
      <c r="BH66" s="413"/>
      <c r="BI66" s="414"/>
      <c r="BJ66" s="413"/>
      <c r="BK66" s="413"/>
      <c r="BL66" s="413"/>
      <c r="BM66" s="413"/>
      <c r="BN66" s="413"/>
      <c r="BO66" s="413"/>
      <c r="BP66" s="413"/>
      <c r="BQ66" s="413"/>
      <c r="BR66" s="413"/>
      <c r="BS66" s="413"/>
      <c r="BT66" s="413"/>
      <c r="BU66" s="413"/>
      <c r="BV66" s="413"/>
      <c r="BW66" s="413"/>
      <c r="BX66" s="413"/>
      <c r="BY66" s="413"/>
      <c r="BZ66" s="413"/>
      <c r="CA66" s="413"/>
      <c r="CB66" s="413"/>
      <c r="CC66" s="413"/>
      <c r="CD66" s="413"/>
      <c r="CE66" s="413"/>
      <c r="CF66" s="413"/>
      <c r="CG66" s="413"/>
      <c r="CH66" s="413"/>
      <c r="CI66" s="413"/>
      <c r="CJ66" s="413"/>
      <c r="CK66" s="413"/>
      <c r="CL66" s="413"/>
      <c r="CM66" s="414"/>
      <c r="CN66" s="413"/>
      <c r="CO66" s="413"/>
      <c r="CP66" s="413"/>
      <c r="CQ66" s="413"/>
      <c r="CR66" s="413"/>
      <c r="CS66" s="413"/>
      <c r="CT66" s="413"/>
      <c r="CU66" s="413"/>
      <c r="CV66" s="413"/>
      <c r="CW66" s="414"/>
      <c r="CX66" s="413"/>
      <c r="CY66" s="413"/>
      <c r="CZ66" s="413"/>
      <c r="DA66" s="413"/>
      <c r="DB66" s="413"/>
      <c r="DC66" s="413"/>
      <c r="DD66" s="413"/>
      <c r="DE66" s="413"/>
      <c r="DF66" s="413"/>
      <c r="DG66" s="414"/>
      <c r="DH66" s="413"/>
      <c r="DI66" s="413"/>
      <c r="DJ66" s="413"/>
      <c r="DK66" s="413"/>
      <c r="DL66" s="413"/>
      <c r="DM66" s="413"/>
      <c r="DN66" s="413"/>
      <c r="DO66" s="413"/>
      <c r="DP66" s="413"/>
      <c r="DQ66" s="414"/>
      <c r="DR66" s="413"/>
      <c r="DS66" s="413"/>
      <c r="DT66" s="413"/>
      <c r="DU66" s="413"/>
      <c r="DV66" s="413"/>
      <c r="DW66" s="413"/>
      <c r="DX66" s="413"/>
      <c r="DY66" s="413"/>
      <c r="DZ66" s="413"/>
      <c r="EA66" s="413"/>
      <c r="EB66" s="413"/>
      <c r="EC66" s="413"/>
      <c r="ED66" s="413"/>
      <c r="EE66" s="413"/>
      <c r="EF66" s="413"/>
      <c r="EG66" s="413"/>
      <c r="EH66" s="413"/>
      <c r="EI66" s="413"/>
      <c r="EJ66" s="413"/>
      <c r="EK66" s="413"/>
      <c r="EL66" s="413"/>
      <c r="EM66" s="452"/>
      <c r="EN66" s="413"/>
      <c r="EO66" s="453"/>
      <c r="EP66" s="413"/>
      <c r="EQ66" s="434"/>
      <c r="ER66" s="434"/>
      <c r="ES66" s="434"/>
      <c r="ET66" s="434"/>
      <c r="EU66" s="434"/>
      <c r="EV66" s="434"/>
      <c r="EW66" s="434"/>
      <c r="EX66" s="434"/>
      <c r="EY66" s="434"/>
      <c r="EZ66" s="434"/>
      <c r="FA66" s="434"/>
      <c r="FB66" s="434"/>
      <c r="FC66" s="399"/>
      <c r="FD66" s="399"/>
      <c r="FE66" s="399"/>
      <c r="FF66" s="399"/>
      <c r="FG66" s="415"/>
      <c r="FH66" s="415"/>
      <c r="FI66" s="415"/>
      <c r="FJ66" s="415"/>
      <c r="FK66" s="415"/>
      <c r="FL66" s="415"/>
      <c r="FM66" s="415"/>
    </row>
    <row r="67" spans="1:169" hidden="1">
      <c r="A67" s="410" t="s">
        <v>82</v>
      </c>
      <c r="B67" s="465" t="s">
        <v>1332</v>
      </c>
      <c r="C67" s="412"/>
      <c r="D67" s="412"/>
      <c r="E67" s="412"/>
      <c r="F67" s="412"/>
      <c r="G67" s="412"/>
      <c r="H67" s="412"/>
      <c r="I67" s="412"/>
      <c r="J67" s="412"/>
      <c r="K67" s="412"/>
      <c r="L67" s="412"/>
      <c r="M67" s="413"/>
      <c r="N67" s="413"/>
      <c r="O67" s="413"/>
      <c r="P67" s="413"/>
      <c r="Q67" s="413"/>
      <c r="R67" s="413"/>
      <c r="S67" s="413"/>
      <c r="T67" s="413"/>
      <c r="U67" s="413"/>
      <c r="V67" s="413"/>
      <c r="W67" s="413"/>
      <c r="X67" s="413"/>
      <c r="Y67" s="413"/>
      <c r="Z67" s="413"/>
      <c r="AA67" s="413"/>
      <c r="AB67" s="413"/>
      <c r="AC67" s="413"/>
      <c r="AD67" s="413"/>
      <c r="AE67" s="413"/>
      <c r="AF67" s="413"/>
      <c r="AG67" s="413"/>
      <c r="AH67" s="413"/>
      <c r="AI67" s="413"/>
      <c r="AJ67" s="413"/>
      <c r="AK67" s="413"/>
      <c r="AL67" s="413"/>
      <c r="AM67" s="413"/>
      <c r="AN67" s="413"/>
      <c r="AO67" s="414"/>
      <c r="AP67" s="413"/>
      <c r="AQ67" s="413"/>
      <c r="AR67" s="413"/>
      <c r="AS67" s="413"/>
      <c r="AT67" s="413"/>
      <c r="AU67" s="413"/>
      <c r="AV67" s="413"/>
      <c r="AW67" s="413"/>
      <c r="AX67" s="413"/>
      <c r="AY67" s="414"/>
      <c r="AZ67" s="413"/>
      <c r="BA67" s="413"/>
      <c r="BB67" s="413"/>
      <c r="BC67" s="413"/>
      <c r="BD67" s="413"/>
      <c r="BE67" s="413"/>
      <c r="BF67" s="413"/>
      <c r="BG67" s="413"/>
      <c r="BH67" s="413"/>
      <c r="BI67" s="414"/>
      <c r="BJ67" s="413"/>
      <c r="BK67" s="413"/>
      <c r="BL67" s="413"/>
      <c r="BM67" s="413"/>
      <c r="BN67" s="413"/>
      <c r="BO67" s="413"/>
      <c r="BP67" s="413"/>
      <c r="BQ67" s="413"/>
      <c r="BR67" s="413"/>
      <c r="BS67" s="413"/>
      <c r="BT67" s="413"/>
      <c r="BU67" s="413"/>
      <c r="BV67" s="413"/>
      <c r="BW67" s="413"/>
      <c r="BX67" s="413"/>
      <c r="BY67" s="413"/>
      <c r="BZ67" s="413"/>
      <c r="CA67" s="413"/>
      <c r="CB67" s="413"/>
      <c r="CC67" s="413"/>
      <c r="CD67" s="413"/>
      <c r="CE67" s="413"/>
      <c r="CF67" s="413"/>
      <c r="CG67" s="413"/>
      <c r="CH67" s="413"/>
      <c r="CI67" s="413"/>
      <c r="CJ67" s="413"/>
      <c r="CK67" s="413"/>
      <c r="CL67" s="413"/>
      <c r="CM67" s="414"/>
      <c r="CN67" s="413"/>
      <c r="CO67" s="413"/>
      <c r="CP67" s="413"/>
      <c r="CQ67" s="413"/>
      <c r="CR67" s="413"/>
      <c r="CS67" s="413"/>
      <c r="CT67" s="413"/>
      <c r="CU67" s="413"/>
      <c r="CV67" s="413"/>
      <c r="CW67" s="414"/>
      <c r="CX67" s="413"/>
      <c r="CY67" s="413"/>
      <c r="CZ67" s="413"/>
      <c r="DA67" s="413"/>
      <c r="DB67" s="413"/>
      <c r="DC67" s="413"/>
      <c r="DD67" s="413"/>
      <c r="DE67" s="413"/>
      <c r="DF67" s="413"/>
      <c r="DG67" s="414"/>
      <c r="DH67" s="413"/>
      <c r="DI67" s="413"/>
      <c r="DJ67" s="413"/>
      <c r="DK67" s="413"/>
      <c r="DL67" s="413"/>
      <c r="DM67" s="413"/>
      <c r="DN67" s="413"/>
      <c r="DO67" s="413"/>
      <c r="DP67" s="413"/>
      <c r="DQ67" s="414"/>
      <c r="DR67" s="413"/>
      <c r="DS67" s="413"/>
      <c r="DT67" s="413"/>
      <c r="DU67" s="413"/>
      <c r="DV67" s="413"/>
      <c r="DW67" s="413"/>
      <c r="DX67" s="413"/>
      <c r="DY67" s="413"/>
      <c r="DZ67" s="413"/>
      <c r="EA67" s="413"/>
      <c r="EB67" s="413"/>
      <c r="EC67" s="413"/>
      <c r="ED67" s="413"/>
      <c r="EE67" s="413"/>
      <c r="EF67" s="413"/>
      <c r="EG67" s="413"/>
      <c r="EH67" s="413"/>
      <c r="EI67" s="413"/>
      <c r="EJ67" s="413"/>
      <c r="EK67" s="413"/>
      <c r="EL67" s="413"/>
      <c r="EM67" s="452"/>
      <c r="EN67" s="413"/>
      <c r="EO67" s="453"/>
      <c r="EP67" s="413"/>
      <c r="EQ67" s="434"/>
      <c r="ER67" s="434"/>
      <c r="ES67" s="434"/>
      <c r="ET67" s="434"/>
      <c r="EU67" s="434"/>
      <c r="EV67" s="434"/>
      <c r="EW67" s="434"/>
      <c r="EX67" s="434"/>
      <c r="EY67" s="434"/>
      <c r="EZ67" s="434"/>
      <c r="FA67" s="434"/>
      <c r="FB67" s="434"/>
      <c r="FC67" s="399"/>
      <c r="FD67" s="399"/>
      <c r="FE67" s="399"/>
      <c r="FF67" s="399"/>
      <c r="FG67" s="415"/>
      <c r="FH67" s="415"/>
      <c r="FI67" s="415"/>
      <c r="FJ67" s="415"/>
      <c r="FK67" s="415"/>
      <c r="FL67" s="415"/>
      <c r="FM67" s="415"/>
    </row>
    <row r="68" spans="1:169" hidden="1">
      <c r="A68" s="410" t="s">
        <v>83</v>
      </c>
      <c r="B68" s="465" t="s">
        <v>1333</v>
      </c>
      <c r="C68" s="412"/>
      <c r="D68" s="412"/>
      <c r="E68" s="412"/>
      <c r="F68" s="412"/>
      <c r="G68" s="412"/>
      <c r="H68" s="412"/>
      <c r="I68" s="412"/>
      <c r="J68" s="412"/>
      <c r="K68" s="412"/>
      <c r="L68" s="412"/>
      <c r="M68" s="413"/>
      <c r="N68" s="413"/>
      <c r="O68" s="413"/>
      <c r="P68" s="413"/>
      <c r="Q68" s="413"/>
      <c r="R68" s="413"/>
      <c r="S68" s="413"/>
      <c r="T68" s="413"/>
      <c r="U68" s="413"/>
      <c r="V68" s="413"/>
      <c r="W68" s="413"/>
      <c r="X68" s="413"/>
      <c r="Y68" s="413"/>
      <c r="Z68" s="413"/>
      <c r="AA68" s="413"/>
      <c r="AB68" s="413"/>
      <c r="AC68" s="413"/>
      <c r="AD68" s="413"/>
      <c r="AE68" s="413"/>
      <c r="AF68" s="413"/>
      <c r="AG68" s="413"/>
      <c r="AH68" s="413"/>
      <c r="AI68" s="413"/>
      <c r="AJ68" s="413"/>
      <c r="AK68" s="413"/>
      <c r="AL68" s="413"/>
      <c r="AM68" s="413"/>
      <c r="AN68" s="413"/>
      <c r="AO68" s="414"/>
      <c r="AP68" s="413"/>
      <c r="AQ68" s="413"/>
      <c r="AR68" s="413"/>
      <c r="AS68" s="413"/>
      <c r="AT68" s="413"/>
      <c r="AU68" s="413"/>
      <c r="AV68" s="413"/>
      <c r="AW68" s="413"/>
      <c r="AX68" s="413"/>
      <c r="AY68" s="414"/>
      <c r="AZ68" s="413"/>
      <c r="BA68" s="413"/>
      <c r="BB68" s="413"/>
      <c r="BC68" s="413"/>
      <c r="BD68" s="413"/>
      <c r="BE68" s="413"/>
      <c r="BF68" s="413"/>
      <c r="BG68" s="413"/>
      <c r="BH68" s="413"/>
      <c r="BI68" s="414"/>
      <c r="BJ68" s="413"/>
      <c r="BK68" s="413"/>
      <c r="BL68" s="413"/>
      <c r="BM68" s="413"/>
      <c r="BN68" s="413"/>
      <c r="BO68" s="413"/>
      <c r="BP68" s="413"/>
      <c r="BQ68" s="413"/>
      <c r="BR68" s="413"/>
      <c r="BS68" s="413"/>
      <c r="BT68" s="413"/>
      <c r="BU68" s="413"/>
      <c r="BV68" s="413"/>
      <c r="BW68" s="413"/>
      <c r="BX68" s="413"/>
      <c r="BY68" s="413"/>
      <c r="BZ68" s="413"/>
      <c r="CA68" s="413"/>
      <c r="CB68" s="413"/>
      <c r="CC68" s="413"/>
      <c r="CD68" s="413"/>
      <c r="CE68" s="413"/>
      <c r="CF68" s="413"/>
      <c r="CG68" s="413"/>
      <c r="CH68" s="413"/>
      <c r="CI68" s="413"/>
      <c r="CJ68" s="413"/>
      <c r="CK68" s="413"/>
      <c r="CL68" s="413"/>
      <c r="CM68" s="414"/>
      <c r="CN68" s="413"/>
      <c r="CO68" s="413"/>
      <c r="CP68" s="413"/>
      <c r="CQ68" s="413"/>
      <c r="CR68" s="413"/>
      <c r="CS68" s="413"/>
      <c r="CT68" s="413"/>
      <c r="CU68" s="413"/>
      <c r="CV68" s="413"/>
      <c r="CW68" s="414"/>
      <c r="CX68" s="413"/>
      <c r="CY68" s="413"/>
      <c r="CZ68" s="413"/>
      <c r="DA68" s="413"/>
      <c r="DB68" s="413"/>
      <c r="DC68" s="413"/>
      <c r="DD68" s="413"/>
      <c r="DE68" s="413"/>
      <c r="DF68" s="413"/>
      <c r="DG68" s="414"/>
      <c r="DH68" s="413"/>
      <c r="DI68" s="413"/>
      <c r="DJ68" s="413"/>
      <c r="DK68" s="413"/>
      <c r="DL68" s="413"/>
      <c r="DM68" s="413"/>
      <c r="DN68" s="413"/>
      <c r="DO68" s="413"/>
      <c r="DP68" s="413"/>
      <c r="DQ68" s="414"/>
      <c r="DR68" s="413"/>
      <c r="DS68" s="413"/>
      <c r="DT68" s="413"/>
      <c r="DU68" s="413"/>
      <c r="DV68" s="413"/>
      <c r="DW68" s="413"/>
      <c r="DX68" s="413"/>
      <c r="DY68" s="413"/>
      <c r="DZ68" s="413"/>
      <c r="EA68" s="413"/>
      <c r="EB68" s="413"/>
      <c r="EC68" s="413"/>
      <c r="ED68" s="413"/>
      <c r="EE68" s="413"/>
      <c r="EF68" s="413"/>
      <c r="EG68" s="413"/>
      <c r="EH68" s="413"/>
      <c r="EI68" s="413"/>
      <c r="EJ68" s="413"/>
      <c r="EK68" s="413"/>
      <c r="EL68" s="413"/>
      <c r="EM68" s="452"/>
      <c r="EN68" s="413"/>
      <c r="EO68" s="453"/>
      <c r="EP68" s="413"/>
      <c r="EQ68" s="434"/>
      <c r="ER68" s="434"/>
      <c r="ES68" s="434"/>
      <c r="ET68" s="434"/>
      <c r="EU68" s="434"/>
      <c r="EV68" s="434"/>
      <c r="EW68" s="434"/>
      <c r="EX68" s="434"/>
      <c r="EY68" s="434"/>
      <c r="EZ68" s="434"/>
      <c r="FA68" s="434"/>
      <c r="FB68" s="434"/>
      <c r="FC68" s="399"/>
      <c r="FD68" s="399"/>
      <c r="FE68" s="399"/>
      <c r="FF68" s="399"/>
      <c r="FG68" s="415"/>
      <c r="FH68" s="415"/>
      <c r="FI68" s="415"/>
      <c r="FJ68" s="415"/>
      <c r="FK68" s="415"/>
      <c r="FL68" s="415"/>
      <c r="FM68" s="415"/>
    </row>
    <row r="69" spans="1:169" hidden="1">
      <c r="A69" s="410" t="s">
        <v>86</v>
      </c>
      <c r="B69" s="465" t="s">
        <v>1334</v>
      </c>
      <c r="C69" s="412"/>
      <c r="D69" s="412"/>
      <c r="E69" s="412"/>
      <c r="F69" s="412"/>
      <c r="G69" s="412"/>
      <c r="H69" s="412"/>
      <c r="I69" s="412"/>
      <c r="J69" s="412"/>
      <c r="K69" s="412"/>
      <c r="L69" s="412"/>
      <c r="M69" s="413"/>
      <c r="N69" s="413"/>
      <c r="O69" s="413"/>
      <c r="P69" s="413"/>
      <c r="Q69" s="413"/>
      <c r="R69" s="413"/>
      <c r="S69" s="413"/>
      <c r="T69" s="413"/>
      <c r="U69" s="413"/>
      <c r="V69" s="413"/>
      <c r="W69" s="413"/>
      <c r="X69" s="413"/>
      <c r="Y69" s="413"/>
      <c r="Z69" s="413"/>
      <c r="AA69" s="413"/>
      <c r="AB69" s="413"/>
      <c r="AC69" s="413"/>
      <c r="AD69" s="413"/>
      <c r="AE69" s="413"/>
      <c r="AF69" s="413"/>
      <c r="AG69" s="413"/>
      <c r="AH69" s="413"/>
      <c r="AI69" s="413"/>
      <c r="AJ69" s="413"/>
      <c r="AK69" s="413"/>
      <c r="AL69" s="413"/>
      <c r="AM69" s="413"/>
      <c r="AN69" s="413"/>
      <c r="AO69" s="414"/>
      <c r="AP69" s="413"/>
      <c r="AQ69" s="413"/>
      <c r="AR69" s="413"/>
      <c r="AS69" s="413"/>
      <c r="AT69" s="413"/>
      <c r="AU69" s="413"/>
      <c r="AV69" s="413"/>
      <c r="AW69" s="413"/>
      <c r="AX69" s="413"/>
      <c r="AY69" s="414"/>
      <c r="AZ69" s="413"/>
      <c r="BA69" s="413"/>
      <c r="BB69" s="413"/>
      <c r="BC69" s="413"/>
      <c r="BD69" s="413"/>
      <c r="BE69" s="413"/>
      <c r="BF69" s="413"/>
      <c r="BG69" s="413"/>
      <c r="BH69" s="413"/>
      <c r="BI69" s="414"/>
      <c r="BJ69" s="413"/>
      <c r="BK69" s="413"/>
      <c r="BL69" s="413"/>
      <c r="BM69" s="413"/>
      <c r="BN69" s="413"/>
      <c r="BO69" s="413"/>
      <c r="BP69" s="413"/>
      <c r="BQ69" s="413"/>
      <c r="BR69" s="413"/>
      <c r="BS69" s="413"/>
      <c r="BT69" s="413"/>
      <c r="BU69" s="413"/>
      <c r="BV69" s="413"/>
      <c r="BW69" s="413"/>
      <c r="BX69" s="413"/>
      <c r="BY69" s="413"/>
      <c r="BZ69" s="413"/>
      <c r="CA69" s="413"/>
      <c r="CB69" s="413"/>
      <c r="CC69" s="413"/>
      <c r="CD69" s="413"/>
      <c r="CE69" s="413"/>
      <c r="CF69" s="413"/>
      <c r="CG69" s="413"/>
      <c r="CH69" s="413"/>
      <c r="CI69" s="413"/>
      <c r="CJ69" s="413"/>
      <c r="CK69" s="413"/>
      <c r="CL69" s="413"/>
      <c r="CM69" s="414"/>
      <c r="CN69" s="413"/>
      <c r="CO69" s="413"/>
      <c r="CP69" s="413"/>
      <c r="CQ69" s="413"/>
      <c r="CR69" s="413"/>
      <c r="CS69" s="413"/>
      <c r="CT69" s="413"/>
      <c r="CU69" s="413"/>
      <c r="CV69" s="413"/>
      <c r="CW69" s="414"/>
      <c r="CX69" s="413"/>
      <c r="CY69" s="413"/>
      <c r="CZ69" s="413"/>
      <c r="DA69" s="413"/>
      <c r="DB69" s="413"/>
      <c r="DC69" s="413"/>
      <c r="DD69" s="413"/>
      <c r="DE69" s="413"/>
      <c r="DF69" s="413"/>
      <c r="DG69" s="414"/>
      <c r="DH69" s="413"/>
      <c r="DI69" s="413"/>
      <c r="DJ69" s="413"/>
      <c r="DK69" s="413"/>
      <c r="DL69" s="413"/>
      <c r="DM69" s="413"/>
      <c r="DN69" s="413"/>
      <c r="DO69" s="413"/>
      <c r="DP69" s="413"/>
      <c r="DQ69" s="414"/>
      <c r="DR69" s="413"/>
      <c r="DS69" s="413"/>
      <c r="DT69" s="413"/>
      <c r="DU69" s="413"/>
      <c r="DV69" s="413"/>
      <c r="DW69" s="413"/>
      <c r="DX69" s="413"/>
      <c r="DY69" s="413"/>
      <c r="DZ69" s="413"/>
      <c r="EA69" s="413"/>
      <c r="EB69" s="413"/>
      <c r="EC69" s="413"/>
      <c r="ED69" s="413"/>
      <c r="EE69" s="413"/>
      <c r="EF69" s="413"/>
      <c r="EG69" s="413"/>
      <c r="EH69" s="413"/>
      <c r="EI69" s="413"/>
      <c r="EJ69" s="413"/>
      <c r="EK69" s="413"/>
      <c r="EL69" s="413"/>
      <c r="EM69" s="452"/>
      <c r="EN69" s="413"/>
      <c r="EO69" s="453"/>
      <c r="EP69" s="413"/>
      <c r="EQ69" s="434"/>
      <c r="ER69" s="434"/>
      <c r="ES69" s="434"/>
      <c r="ET69" s="434"/>
      <c r="EU69" s="434"/>
      <c r="EV69" s="434"/>
      <c r="EW69" s="434"/>
      <c r="EX69" s="434"/>
      <c r="EY69" s="434"/>
      <c r="EZ69" s="434"/>
      <c r="FA69" s="434"/>
      <c r="FB69" s="434"/>
      <c r="FC69" s="399"/>
      <c r="FD69" s="399"/>
      <c r="FE69" s="399"/>
      <c r="FF69" s="399"/>
      <c r="FG69" s="415"/>
      <c r="FH69" s="415"/>
      <c r="FI69" s="415"/>
      <c r="FJ69" s="415"/>
      <c r="FK69" s="415"/>
      <c r="FL69" s="415"/>
      <c r="FM69" s="415"/>
    </row>
    <row r="70" spans="1:169" hidden="1">
      <c r="A70" s="410" t="s">
        <v>217</v>
      </c>
      <c r="B70" s="465" t="s">
        <v>1335</v>
      </c>
      <c r="C70" s="412"/>
      <c r="D70" s="412"/>
      <c r="E70" s="412"/>
      <c r="F70" s="412"/>
      <c r="G70" s="412"/>
      <c r="H70" s="412"/>
      <c r="I70" s="412"/>
      <c r="J70" s="412"/>
      <c r="K70" s="412"/>
      <c r="L70" s="412"/>
      <c r="M70" s="413"/>
      <c r="N70" s="413"/>
      <c r="O70" s="413"/>
      <c r="P70" s="413"/>
      <c r="Q70" s="413"/>
      <c r="R70" s="413"/>
      <c r="S70" s="413"/>
      <c r="T70" s="413"/>
      <c r="U70" s="413"/>
      <c r="V70" s="413"/>
      <c r="W70" s="413"/>
      <c r="X70" s="413"/>
      <c r="Y70" s="413"/>
      <c r="Z70" s="413"/>
      <c r="AA70" s="413"/>
      <c r="AB70" s="413"/>
      <c r="AC70" s="413"/>
      <c r="AD70" s="413"/>
      <c r="AE70" s="413"/>
      <c r="AF70" s="413"/>
      <c r="AG70" s="413"/>
      <c r="AH70" s="413"/>
      <c r="AI70" s="413"/>
      <c r="AJ70" s="413"/>
      <c r="AK70" s="413"/>
      <c r="AL70" s="413"/>
      <c r="AM70" s="413"/>
      <c r="AN70" s="413"/>
      <c r="AO70" s="414"/>
      <c r="AP70" s="413"/>
      <c r="AQ70" s="413"/>
      <c r="AR70" s="413"/>
      <c r="AS70" s="413"/>
      <c r="AT70" s="413"/>
      <c r="AU70" s="413"/>
      <c r="AV70" s="413"/>
      <c r="AW70" s="413"/>
      <c r="AX70" s="413"/>
      <c r="AY70" s="414"/>
      <c r="AZ70" s="413"/>
      <c r="BA70" s="413"/>
      <c r="BB70" s="413"/>
      <c r="BC70" s="413"/>
      <c r="BD70" s="413"/>
      <c r="BE70" s="413"/>
      <c r="BF70" s="413"/>
      <c r="BG70" s="413"/>
      <c r="BH70" s="413"/>
      <c r="BI70" s="414"/>
      <c r="BJ70" s="413"/>
      <c r="BK70" s="413"/>
      <c r="BL70" s="413"/>
      <c r="BM70" s="413"/>
      <c r="BN70" s="413"/>
      <c r="BO70" s="413"/>
      <c r="BP70" s="413"/>
      <c r="BQ70" s="413"/>
      <c r="BR70" s="413"/>
      <c r="BS70" s="413"/>
      <c r="BT70" s="413"/>
      <c r="BU70" s="413"/>
      <c r="BV70" s="413"/>
      <c r="BW70" s="413"/>
      <c r="BX70" s="413"/>
      <c r="BY70" s="413"/>
      <c r="BZ70" s="413"/>
      <c r="CA70" s="413"/>
      <c r="CB70" s="413"/>
      <c r="CC70" s="413"/>
      <c r="CD70" s="413"/>
      <c r="CE70" s="413"/>
      <c r="CF70" s="413"/>
      <c r="CG70" s="413"/>
      <c r="CH70" s="413"/>
      <c r="CI70" s="413"/>
      <c r="CJ70" s="413"/>
      <c r="CK70" s="413"/>
      <c r="CL70" s="413"/>
      <c r="CM70" s="414"/>
      <c r="CN70" s="413"/>
      <c r="CO70" s="413"/>
      <c r="CP70" s="413"/>
      <c r="CQ70" s="413"/>
      <c r="CR70" s="413"/>
      <c r="CS70" s="413"/>
      <c r="CT70" s="413"/>
      <c r="CU70" s="413"/>
      <c r="CV70" s="413"/>
      <c r="CW70" s="414"/>
      <c r="CX70" s="413"/>
      <c r="CY70" s="413"/>
      <c r="CZ70" s="413"/>
      <c r="DA70" s="413"/>
      <c r="DB70" s="413"/>
      <c r="DC70" s="413"/>
      <c r="DD70" s="413"/>
      <c r="DE70" s="413"/>
      <c r="DF70" s="413"/>
      <c r="DG70" s="414"/>
      <c r="DH70" s="413"/>
      <c r="DI70" s="413"/>
      <c r="DJ70" s="413"/>
      <c r="DK70" s="413"/>
      <c r="DL70" s="413"/>
      <c r="DM70" s="413"/>
      <c r="DN70" s="413"/>
      <c r="DO70" s="413"/>
      <c r="DP70" s="413"/>
      <c r="DQ70" s="414"/>
      <c r="DR70" s="413"/>
      <c r="DS70" s="413"/>
      <c r="DT70" s="413"/>
      <c r="DU70" s="413"/>
      <c r="DV70" s="413"/>
      <c r="DW70" s="413"/>
      <c r="DX70" s="413"/>
      <c r="DY70" s="413"/>
      <c r="DZ70" s="413"/>
      <c r="EA70" s="413"/>
      <c r="EB70" s="413"/>
      <c r="EC70" s="413"/>
      <c r="ED70" s="413"/>
      <c r="EE70" s="413"/>
      <c r="EF70" s="413"/>
      <c r="EG70" s="413"/>
      <c r="EH70" s="413"/>
      <c r="EI70" s="413"/>
      <c r="EJ70" s="413"/>
      <c r="EK70" s="413"/>
      <c r="EL70" s="413"/>
      <c r="EM70" s="452"/>
      <c r="EN70" s="413"/>
      <c r="EO70" s="453"/>
      <c r="EP70" s="413"/>
      <c r="EQ70" s="434"/>
      <c r="ER70" s="434"/>
      <c r="ES70" s="434"/>
      <c r="ET70" s="434"/>
      <c r="EU70" s="434"/>
      <c r="EV70" s="434"/>
      <c r="EW70" s="434"/>
      <c r="EX70" s="434"/>
      <c r="EY70" s="434"/>
      <c r="EZ70" s="434"/>
      <c r="FA70" s="434"/>
      <c r="FB70" s="434"/>
      <c r="FC70" s="399"/>
      <c r="FD70" s="399"/>
      <c r="FE70" s="399"/>
      <c r="FF70" s="399"/>
      <c r="FG70" s="415"/>
      <c r="FH70" s="415"/>
      <c r="FI70" s="415"/>
      <c r="FJ70" s="415"/>
      <c r="FK70" s="415"/>
      <c r="FL70" s="415"/>
      <c r="FM70" s="415"/>
    </row>
    <row r="71" spans="1:169" hidden="1">
      <c r="A71" s="410" t="s">
        <v>218</v>
      </c>
      <c r="B71" s="465" t="s">
        <v>1336</v>
      </c>
      <c r="C71" s="412"/>
      <c r="D71" s="412"/>
      <c r="E71" s="412"/>
      <c r="F71" s="412"/>
      <c r="G71" s="412"/>
      <c r="H71" s="412"/>
      <c r="I71" s="412"/>
      <c r="J71" s="412"/>
      <c r="K71" s="412"/>
      <c r="L71" s="412"/>
      <c r="M71" s="413"/>
      <c r="N71" s="413"/>
      <c r="O71" s="413"/>
      <c r="P71" s="413"/>
      <c r="Q71" s="413"/>
      <c r="R71" s="413"/>
      <c r="S71" s="413"/>
      <c r="T71" s="413"/>
      <c r="U71" s="413"/>
      <c r="V71" s="413"/>
      <c r="W71" s="413"/>
      <c r="X71" s="413"/>
      <c r="Y71" s="413"/>
      <c r="Z71" s="413"/>
      <c r="AA71" s="413"/>
      <c r="AB71" s="413"/>
      <c r="AC71" s="413"/>
      <c r="AD71" s="413"/>
      <c r="AE71" s="413"/>
      <c r="AF71" s="413"/>
      <c r="AG71" s="413"/>
      <c r="AH71" s="413"/>
      <c r="AI71" s="413"/>
      <c r="AJ71" s="413"/>
      <c r="AK71" s="413"/>
      <c r="AL71" s="413"/>
      <c r="AM71" s="413"/>
      <c r="AN71" s="413"/>
      <c r="AO71" s="414"/>
      <c r="AP71" s="413"/>
      <c r="AQ71" s="413"/>
      <c r="AR71" s="413"/>
      <c r="AS71" s="413"/>
      <c r="AT71" s="413"/>
      <c r="AU71" s="413"/>
      <c r="AV71" s="413"/>
      <c r="AW71" s="413"/>
      <c r="AX71" s="413"/>
      <c r="AY71" s="414"/>
      <c r="AZ71" s="413"/>
      <c r="BA71" s="413"/>
      <c r="BB71" s="413"/>
      <c r="BC71" s="413"/>
      <c r="BD71" s="413"/>
      <c r="BE71" s="413"/>
      <c r="BF71" s="413"/>
      <c r="BG71" s="413"/>
      <c r="BH71" s="413"/>
      <c r="BI71" s="414"/>
      <c r="BJ71" s="413"/>
      <c r="BK71" s="413"/>
      <c r="BL71" s="413"/>
      <c r="BM71" s="413"/>
      <c r="BN71" s="413"/>
      <c r="BO71" s="413"/>
      <c r="BP71" s="413"/>
      <c r="BQ71" s="413"/>
      <c r="BR71" s="413"/>
      <c r="BS71" s="413"/>
      <c r="BT71" s="413"/>
      <c r="BU71" s="413"/>
      <c r="BV71" s="413"/>
      <c r="BW71" s="413"/>
      <c r="BX71" s="413"/>
      <c r="BY71" s="413"/>
      <c r="BZ71" s="413"/>
      <c r="CA71" s="413"/>
      <c r="CB71" s="413"/>
      <c r="CC71" s="413"/>
      <c r="CD71" s="413"/>
      <c r="CE71" s="413"/>
      <c r="CF71" s="413"/>
      <c r="CG71" s="413"/>
      <c r="CH71" s="413"/>
      <c r="CI71" s="413"/>
      <c r="CJ71" s="413"/>
      <c r="CK71" s="413"/>
      <c r="CL71" s="413"/>
      <c r="CM71" s="414"/>
      <c r="CN71" s="413"/>
      <c r="CO71" s="413"/>
      <c r="CP71" s="413"/>
      <c r="CQ71" s="413"/>
      <c r="CR71" s="413"/>
      <c r="CS71" s="413"/>
      <c r="CT71" s="413"/>
      <c r="CU71" s="413"/>
      <c r="CV71" s="413"/>
      <c r="CW71" s="414"/>
      <c r="CX71" s="413"/>
      <c r="CY71" s="413"/>
      <c r="CZ71" s="413"/>
      <c r="DA71" s="413"/>
      <c r="DB71" s="413"/>
      <c r="DC71" s="413"/>
      <c r="DD71" s="413"/>
      <c r="DE71" s="413"/>
      <c r="DF71" s="413"/>
      <c r="DG71" s="414"/>
      <c r="DH71" s="413"/>
      <c r="DI71" s="413"/>
      <c r="DJ71" s="413"/>
      <c r="DK71" s="413"/>
      <c r="DL71" s="413"/>
      <c r="DM71" s="413"/>
      <c r="DN71" s="413"/>
      <c r="DO71" s="413"/>
      <c r="DP71" s="413"/>
      <c r="DQ71" s="414"/>
      <c r="DR71" s="413"/>
      <c r="DS71" s="413"/>
      <c r="DT71" s="413"/>
      <c r="DU71" s="413"/>
      <c r="DV71" s="413"/>
      <c r="DW71" s="413"/>
      <c r="DX71" s="413"/>
      <c r="DY71" s="413"/>
      <c r="DZ71" s="413"/>
      <c r="EA71" s="413"/>
      <c r="EB71" s="413"/>
      <c r="EC71" s="413"/>
      <c r="ED71" s="413"/>
      <c r="EE71" s="413"/>
      <c r="EF71" s="413"/>
      <c r="EG71" s="413"/>
      <c r="EH71" s="413"/>
      <c r="EI71" s="413"/>
      <c r="EJ71" s="413"/>
      <c r="EK71" s="413"/>
      <c r="EL71" s="413"/>
      <c r="EM71" s="452"/>
      <c r="EN71" s="413"/>
      <c r="EO71" s="453"/>
      <c r="EP71" s="413"/>
      <c r="EQ71" s="434"/>
      <c r="ER71" s="434"/>
      <c r="ES71" s="434"/>
      <c r="ET71" s="434"/>
      <c r="EU71" s="434"/>
      <c r="EV71" s="434"/>
      <c r="EW71" s="434"/>
      <c r="EX71" s="434"/>
      <c r="EY71" s="434"/>
      <c r="EZ71" s="434"/>
      <c r="FA71" s="434"/>
      <c r="FB71" s="434"/>
      <c r="FC71" s="399"/>
      <c r="FD71" s="399"/>
      <c r="FE71" s="399"/>
      <c r="FF71" s="399"/>
      <c r="FG71" s="415"/>
      <c r="FH71" s="415"/>
      <c r="FI71" s="415"/>
      <c r="FJ71" s="415"/>
      <c r="FK71" s="415"/>
      <c r="FL71" s="415"/>
      <c r="FM71" s="415"/>
    </row>
    <row r="72" spans="1:169" hidden="1">
      <c r="A72" s="410" t="s">
        <v>1297</v>
      </c>
      <c r="B72" s="465" t="s">
        <v>1337</v>
      </c>
      <c r="C72" s="412"/>
      <c r="D72" s="412"/>
      <c r="E72" s="412"/>
      <c r="F72" s="412"/>
      <c r="G72" s="412"/>
      <c r="H72" s="412"/>
      <c r="I72" s="412"/>
      <c r="J72" s="412"/>
      <c r="K72" s="412"/>
      <c r="L72" s="412"/>
      <c r="M72" s="413"/>
      <c r="N72" s="413"/>
      <c r="O72" s="413"/>
      <c r="P72" s="413"/>
      <c r="Q72" s="413"/>
      <c r="R72" s="413"/>
      <c r="S72" s="413"/>
      <c r="T72" s="413"/>
      <c r="U72" s="413"/>
      <c r="V72" s="413"/>
      <c r="W72" s="413"/>
      <c r="X72" s="413"/>
      <c r="Y72" s="413"/>
      <c r="Z72" s="413"/>
      <c r="AA72" s="413"/>
      <c r="AB72" s="413"/>
      <c r="AC72" s="413"/>
      <c r="AD72" s="413"/>
      <c r="AE72" s="413"/>
      <c r="AF72" s="413"/>
      <c r="AG72" s="413"/>
      <c r="AH72" s="413"/>
      <c r="AI72" s="413"/>
      <c r="AJ72" s="413"/>
      <c r="AK72" s="413"/>
      <c r="AL72" s="413"/>
      <c r="AM72" s="413"/>
      <c r="AN72" s="413"/>
      <c r="AO72" s="414"/>
      <c r="AP72" s="413"/>
      <c r="AQ72" s="413"/>
      <c r="AR72" s="413"/>
      <c r="AS72" s="413"/>
      <c r="AT72" s="413"/>
      <c r="AU72" s="413"/>
      <c r="AV72" s="413"/>
      <c r="AW72" s="413"/>
      <c r="AX72" s="413"/>
      <c r="AY72" s="414"/>
      <c r="AZ72" s="413"/>
      <c r="BA72" s="413"/>
      <c r="BB72" s="413"/>
      <c r="BC72" s="413"/>
      <c r="BD72" s="413"/>
      <c r="BE72" s="413"/>
      <c r="BF72" s="413"/>
      <c r="BG72" s="413"/>
      <c r="BH72" s="413"/>
      <c r="BI72" s="414"/>
      <c r="BJ72" s="413"/>
      <c r="BK72" s="413"/>
      <c r="BL72" s="413"/>
      <c r="BM72" s="413"/>
      <c r="BN72" s="413"/>
      <c r="BO72" s="413"/>
      <c r="BP72" s="413"/>
      <c r="BQ72" s="413"/>
      <c r="BR72" s="413"/>
      <c r="BS72" s="413"/>
      <c r="BT72" s="413"/>
      <c r="BU72" s="413"/>
      <c r="BV72" s="413"/>
      <c r="BW72" s="413"/>
      <c r="BX72" s="413"/>
      <c r="BY72" s="413"/>
      <c r="BZ72" s="413"/>
      <c r="CA72" s="413"/>
      <c r="CB72" s="413"/>
      <c r="CC72" s="413"/>
      <c r="CD72" s="413"/>
      <c r="CE72" s="413"/>
      <c r="CF72" s="413"/>
      <c r="CG72" s="413"/>
      <c r="CH72" s="413"/>
      <c r="CI72" s="413"/>
      <c r="CJ72" s="413"/>
      <c r="CK72" s="413"/>
      <c r="CL72" s="413"/>
      <c r="CM72" s="414"/>
      <c r="CN72" s="413"/>
      <c r="CO72" s="413"/>
      <c r="CP72" s="413"/>
      <c r="CQ72" s="413"/>
      <c r="CR72" s="413"/>
      <c r="CS72" s="413"/>
      <c r="CT72" s="413"/>
      <c r="CU72" s="413"/>
      <c r="CV72" s="413"/>
      <c r="CW72" s="414"/>
      <c r="CX72" s="413"/>
      <c r="CY72" s="413"/>
      <c r="CZ72" s="413"/>
      <c r="DA72" s="413"/>
      <c r="DB72" s="413"/>
      <c r="DC72" s="413"/>
      <c r="DD72" s="413"/>
      <c r="DE72" s="413"/>
      <c r="DF72" s="413"/>
      <c r="DG72" s="414"/>
      <c r="DH72" s="413"/>
      <c r="DI72" s="413"/>
      <c r="DJ72" s="413"/>
      <c r="DK72" s="413"/>
      <c r="DL72" s="413"/>
      <c r="DM72" s="413"/>
      <c r="DN72" s="413"/>
      <c r="DO72" s="413"/>
      <c r="DP72" s="413"/>
      <c r="DQ72" s="414"/>
      <c r="DR72" s="413"/>
      <c r="DS72" s="413"/>
      <c r="DT72" s="413"/>
      <c r="DU72" s="413"/>
      <c r="DV72" s="413"/>
      <c r="DW72" s="413"/>
      <c r="DX72" s="413"/>
      <c r="DY72" s="413"/>
      <c r="DZ72" s="413"/>
      <c r="EA72" s="413"/>
      <c r="EB72" s="413"/>
      <c r="EC72" s="413"/>
      <c r="ED72" s="413"/>
      <c r="EE72" s="413"/>
      <c r="EF72" s="413"/>
      <c r="EG72" s="413"/>
      <c r="EH72" s="413"/>
      <c r="EI72" s="413"/>
      <c r="EJ72" s="413"/>
      <c r="EK72" s="413"/>
      <c r="EL72" s="413"/>
      <c r="EM72" s="452"/>
      <c r="EN72" s="413"/>
      <c r="EO72" s="453"/>
      <c r="EP72" s="413"/>
      <c r="EQ72" s="434"/>
      <c r="ER72" s="434"/>
      <c r="ES72" s="434"/>
      <c r="ET72" s="434"/>
      <c r="EU72" s="434"/>
      <c r="EV72" s="434"/>
      <c r="EW72" s="434"/>
      <c r="EX72" s="434"/>
      <c r="EY72" s="434"/>
      <c r="EZ72" s="434"/>
      <c r="FA72" s="434"/>
      <c r="FB72" s="434"/>
      <c r="FC72" s="399"/>
      <c r="FD72" s="399"/>
      <c r="FE72" s="399"/>
      <c r="FF72" s="399"/>
      <c r="FG72" s="415"/>
      <c r="FH72" s="415"/>
      <c r="FI72" s="415"/>
      <c r="FJ72" s="415"/>
      <c r="FK72" s="415"/>
      <c r="FL72" s="415"/>
      <c r="FM72" s="415"/>
    </row>
    <row r="73" spans="1:169" hidden="1">
      <c r="A73" s="410" t="s">
        <v>1298</v>
      </c>
      <c r="B73" s="465" t="s">
        <v>1338</v>
      </c>
      <c r="C73" s="412"/>
      <c r="D73" s="412"/>
      <c r="E73" s="412"/>
      <c r="F73" s="412"/>
      <c r="G73" s="412"/>
      <c r="H73" s="412"/>
      <c r="I73" s="412"/>
      <c r="J73" s="412"/>
      <c r="K73" s="412"/>
      <c r="L73" s="412"/>
      <c r="M73" s="413"/>
      <c r="N73" s="413"/>
      <c r="O73" s="413"/>
      <c r="P73" s="413"/>
      <c r="Q73" s="413"/>
      <c r="R73" s="413"/>
      <c r="S73" s="413"/>
      <c r="T73" s="413"/>
      <c r="U73" s="413"/>
      <c r="V73" s="413"/>
      <c r="W73" s="413"/>
      <c r="X73" s="413"/>
      <c r="Y73" s="413"/>
      <c r="Z73" s="413"/>
      <c r="AA73" s="413"/>
      <c r="AB73" s="413"/>
      <c r="AC73" s="413"/>
      <c r="AD73" s="413"/>
      <c r="AE73" s="413"/>
      <c r="AF73" s="413"/>
      <c r="AG73" s="413"/>
      <c r="AH73" s="413"/>
      <c r="AI73" s="413"/>
      <c r="AJ73" s="413"/>
      <c r="AK73" s="413"/>
      <c r="AL73" s="413"/>
      <c r="AM73" s="413"/>
      <c r="AN73" s="413"/>
      <c r="AO73" s="414"/>
      <c r="AP73" s="413"/>
      <c r="AQ73" s="413"/>
      <c r="AR73" s="413"/>
      <c r="AS73" s="413"/>
      <c r="AT73" s="413"/>
      <c r="AU73" s="413"/>
      <c r="AV73" s="413"/>
      <c r="AW73" s="413"/>
      <c r="AX73" s="413"/>
      <c r="AY73" s="414"/>
      <c r="AZ73" s="413"/>
      <c r="BA73" s="413"/>
      <c r="BB73" s="413"/>
      <c r="BC73" s="413"/>
      <c r="BD73" s="413"/>
      <c r="BE73" s="413"/>
      <c r="BF73" s="413"/>
      <c r="BG73" s="413"/>
      <c r="BH73" s="413"/>
      <c r="BI73" s="414"/>
      <c r="BJ73" s="413"/>
      <c r="BK73" s="413"/>
      <c r="BL73" s="413"/>
      <c r="BM73" s="413"/>
      <c r="BN73" s="413"/>
      <c r="BO73" s="413"/>
      <c r="BP73" s="413"/>
      <c r="BQ73" s="413"/>
      <c r="BR73" s="413"/>
      <c r="BS73" s="413"/>
      <c r="BT73" s="413"/>
      <c r="BU73" s="413"/>
      <c r="BV73" s="413"/>
      <c r="BW73" s="413"/>
      <c r="BX73" s="413"/>
      <c r="BY73" s="413"/>
      <c r="BZ73" s="413"/>
      <c r="CA73" s="413"/>
      <c r="CB73" s="413"/>
      <c r="CC73" s="413"/>
      <c r="CD73" s="413"/>
      <c r="CE73" s="413"/>
      <c r="CF73" s="413"/>
      <c r="CG73" s="413"/>
      <c r="CH73" s="413"/>
      <c r="CI73" s="413"/>
      <c r="CJ73" s="413"/>
      <c r="CK73" s="413"/>
      <c r="CL73" s="413"/>
      <c r="CM73" s="414"/>
      <c r="CN73" s="413"/>
      <c r="CO73" s="413"/>
      <c r="CP73" s="413"/>
      <c r="CQ73" s="413"/>
      <c r="CR73" s="413"/>
      <c r="CS73" s="413"/>
      <c r="CT73" s="413"/>
      <c r="CU73" s="413"/>
      <c r="CV73" s="413"/>
      <c r="CW73" s="414"/>
      <c r="CX73" s="413"/>
      <c r="CY73" s="413"/>
      <c r="CZ73" s="413"/>
      <c r="DA73" s="413"/>
      <c r="DB73" s="413"/>
      <c r="DC73" s="413"/>
      <c r="DD73" s="413"/>
      <c r="DE73" s="413"/>
      <c r="DF73" s="413"/>
      <c r="DG73" s="414"/>
      <c r="DH73" s="413"/>
      <c r="DI73" s="413"/>
      <c r="DJ73" s="413"/>
      <c r="DK73" s="413"/>
      <c r="DL73" s="413"/>
      <c r="DM73" s="413"/>
      <c r="DN73" s="413"/>
      <c r="DO73" s="413"/>
      <c r="DP73" s="413"/>
      <c r="DQ73" s="414"/>
      <c r="DR73" s="413"/>
      <c r="DS73" s="413"/>
      <c r="DT73" s="413"/>
      <c r="DU73" s="413"/>
      <c r="DV73" s="413"/>
      <c r="DW73" s="413"/>
      <c r="DX73" s="413"/>
      <c r="DY73" s="413"/>
      <c r="DZ73" s="413"/>
      <c r="EA73" s="413"/>
      <c r="EB73" s="413"/>
      <c r="EC73" s="413"/>
      <c r="ED73" s="413"/>
      <c r="EE73" s="413"/>
      <c r="EF73" s="413"/>
      <c r="EG73" s="413"/>
      <c r="EH73" s="413"/>
      <c r="EI73" s="413"/>
      <c r="EJ73" s="413"/>
      <c r="EK73" s="413"/>
      <c r="EL73" s="413"/>
      <c r="EM73" s="452"/>
      <c r="EN73" s="413"/>
      <c r="EO73" s="453"/>
      <c r="EP73" s="413"/>
      <c r="EQ73" s="434"/>
      <c r="ER73" s="434"/>
      <c r="ES73" s="434"/>
      <c r="ET73" s="434"/>
      <c r="EU73" s="434"/>
      <c r="EV73" s="434"/>
      <c r="EW73" s="434"/>
      <c r="EX73" s="434"/>
      <c r="EY73" s="434"/>
      <c r="EZ73" s="434"/>
      <c r="FA73" s="434"/>
      <c r="FB73" s="434"/>
      <c r="FC73" s="399"/>
      <c r="FD73" s="399"/>
      <c r="FE73" s="399"/>
      <c r="FF73" s="399"/>
      <c r="FG73" s="415"/>
      <c r="FH73" s="415"/>
      <c r="FI73" s="415"/>
      <c r="FJ73" s="415"/>
      <c r="FK73" s="415"/>
      <c r="FL73" s="415"/>
      <c r="FM73" s="415"/>
    </row>
    <row r="74" spans="1:169" hidden="1">
      <c r="A74" s="410" t="s">
        <v>1299</v>
      </c>
      <c r="B74" s="465" t="s">
        <v>1339</v>
      </c>
      <c r="C74" s="412"/>
      <c r="D74" s="412"/>
      <c r="E74" s="412"/>
      <c r="F74" s="412"/>
      <c r="G74" s="412"/>
      <c r="H74" s="412"/>
      <c r="I74" s="412"/>
      <c r="J74" s="412"/>
      <c r="K74" s="412"/>
      <c r="L74" s="412"/>
      <c r="M74" s="413"/>
      <c r="N74" s="413"/>
      <c r="O74" s="413"/>
      <c r="P74" s="413"/>
      <c r="Q74" s="413"/>
      <c r="R74" s="413"/>
      <c r="S74" s="413"/>
      <c r="T74" s="413"/>
      <c r="U74" s="413"/>
      <c r="V74" s="413"/>
      <c r="W74" s="413"/>
      <c r="X74" s="413"/>
      <c r="Y74" s="413"/>
      <c r="Z74" s="413"/>
      <c r="AA74" s="413"/>
      <c r="AB74" s="413"/>
      <c r="AC74" s="413"/>
      <c r="AD74" s="413"/>
      <c r="AE74" s="413"/>
      <c r="AF74" s="413"/>
      <c r="AG74" s="413"/>
      <c r="AH74" s="413"/>
      <c r="AI74" s="413"/>
      <c r="AJ74" s="413"/>
      <c r="AK74" s="413"/>
      <c r="AL74" s="413"/>
      <c r="AM74" s="413"/>
      <c r="AN74" s="413"/>
      <c r="AO74" s="414"/>
      <c r="AP74" s="413"/>
      <c r="AQ74" s="413"/>
      <c r="AR74" s="413"/>
      <c r="AS74" s="413"/>
      <c r="AT74" s="413"/>
      <c r="AU74" s="413"/>
      <c r="AV74" s="413"/>
      <c r="AW74" s="413"/>
      <c r="AX74" s="413"/>
      <c r="AY74" s="414"/>
      <c r="AZ74" s="413"/>
      <c r="BA74" s="413"/>
      <c r="BB74" s="413"/>
      <c r="BC74" s="413"/>
      <c r="BD74" s="413"/>
      <c r="BE74" s="413"/>
      <c r="BF74" s="413"/>
      <c r="BG74" s="413"/>
      <c r="BH74" s="413"/>
      <c r="BI74" s="414"/>
      <c r="BJ74" s="413"/>
      <c r="BK74" s="413"/>
      <c r="BL74" s="413"/>
      <c r="BM74" s="413"/>
      <c r="BN74" s="413"/>
      <c r="BO74" s="413"/>
      <c r="BP74" s="413"/>
      <c r="BQ74" s="413"/>
      <c r="BR74" s="413"/>
      <c r="BS74" s="413"/>
      <c r="BT74" s="413"/>
      <c r="BU74" s="413"/>
      <c r="BV74" s="413"/>
      <c r="BW74" s="413"/>
      <c r="BX74" s="413"/>
      <c r="BY74" s="413"/>
      <c r="BZ74" s="413"/>
      <c r="CA74" s="413"/>
      <c r="CB74" s="413"/>
      <c r="CC74" s="413"/>
      <c r="CD74" s="413"/>
      <c r="CE74" s="413"/>
      <c r="CF74" s="413"/>
      <c r="CG74" s="413"/>
      <c r="CH74" s="413"/>
      <c r="CI74" s="413"/>
      <c r="CJ74" s="413"/>
      <c r="CK74" s="413"/>
      <c r="CL74" s="413"/>
      <c r="CM74" s="414"/>
      <c r="CN74" s="413"/>
      <c r="CO74" s="413"/>
      <c r="CP74" s="413"/>
      <c r="CQ74" s="413"/>
      <c r="CR74" s="413"/>
      <c r="CS74" s="413"/>
      <c r="CT74" s="413"/>
      <c r="CU74" s="413"/>
      <c r="CV74" s="413"/>
      <c r="CW74" s="414"/>
      <c r="CX74" s="413"/>
      <c r="CY74" s="413"/>
      <c r="CZ74" s="413"/>
      <c r="DA74" s="413"/>
      <c r="DB74" s="413"/>
      <c r="DC74" s="413"/>
      <c r="DD74" s="413"/>
      <c r="DE74" s="413"/>
      <c r="DF74" s="413"/>
      <c r="DG74" s="414"/>
      <c r="DH74" s="413"/>
      <c r="DI74" s="413"/>
      <c r="DJ74" s="413"/>
      <c r="DK74" s="413"/>
      <c r="DL74" s="413"/>
      <c r="DM74" s="413"/>
      <c r="DN74" s="413"/>
      <c r="DO74" s="413"/>
      <c r="DP74" s="413"/>
      <c r="DQ74" s="414"/>
      <c r="DR74" s="413"/>
      <c r="DS74" s="413"/>
      <c r="DT74" s="413"/>
      <c r="DU74" s="413"/>
      <c r="DV74" s="413"/>
      <c r="DW74" s="413"/>
      <c r="DX74" s="413"/>
      <c r="DY74" s="413"/>
      <c r="DZ74" s="413"/>
      <c r="EA74" s="413"/>
      <c r="EB74" s="413"/>
      <c r="EC74" s="413"/>
      <c r="ED74" s="413"/>
      <c r="EE74" s="413"/>
      <c r="EF74" s="413"/>
      <c r="EG74" s="413"/>
      <c r="EH74" s="413"/>
      <c r="EI74" s="413"/>
      <c r="EJ74" s="413"/>
      <c r="EK74" s="413"/>
      <c r="EL74" s="413"/>
      <c r="EM74" s="452"/>
      <c r="EN74" s="413"/>
      <c r="EO74" s="453"/>
      <c r="EP74" s="413"/>
      <c r="EQ74" s="434"/>
      <c r="ER74" s="434"/>
      <c r="ES74" s="434"/>
      <c r="ET74" s="434"/>
      <c r="EU74" s="434"/>
      <c r="EV74" s="434"/>
      <c r="EW74" s="434"/>
      <c r="EX74" s="434"/>
      <c r="EY74" s="434"/>
      <c r="EZ74" s="434"/>
      <c r="FA74" s="434"/>
      <c r="FB74" s="434"/>
      <c r="FC74" s="399"/>
      <c r="FD74" s="399"/>
      <c r="FE74" s="399"/>
      <c r="FF74" s="399"/>
      <c r="FG74" s="415"/>
      <c r="FH74" s="415"/>
      <c r="FI74" s="415"/>
      <c r="FJ74" s="415"/>
      <c r="FK74" s="415"/>
      <c r="FL74" s="415"/>
      <c r="FM74" s="415"/>
    </row>
    <row r="75" spans="1:169" hidden="1">
      <c r="A75" s="410" t="s">
        <v>1300</v>
      </c>
      <c r="B75" s="465" t="s">
        <v>1340</v>
      </c>
      <c r="C75" s="412"/>
      <c r="D75" s="412"/>
      <c r="E75" s="412"/>
      <c r="F75" s="412"/>
      <c r="G75" s="412"/>
      <c r="H75" s="412"/>
      <c r="I75" s="412"/>
      <c r="J75" s="412"/>
      <c r="K75" s="412"/>
      <c r="L75" s="412"/>
      <c r="M75" s="413"/>
      <c r="N75" s="413"/>
      <c r="O75" s="413"/>
      <c r="P75" s="413"/>
      <c r="Q75" s="413"/>
      <c r="R75" s="413"/>
      <c r="S75" s="413"/>
      <c r="T75" s="413"/>
      <c r="U75" s="413"/>
      <c r="V75" s="413"/>
      <c r="W75" s="413"/>
      <c r="X75" s="413"/>
      <c r="Y75" s="413"/>
      <c r="Z75" s="413"/>
      <c r="AA75" s="413"/>
      <c r="AB75" s="413"/>
      <c r="AC75" s="413"/>
      <c r="AD75" s="413"/>
      <c r="AE75" s="413"/>
      <c r="AF75" s="413"/>
      <c r="AG75" s="413"/>
      <c r="AH75" s="413"/>
      <c r="AI75" s="413"/>
      <c r="AJ75" s="413"/>
      <c r="AK75" s="413"/>
      <c r="AL75" s="413"/>
      <c r="AM75" s="413"/>
      <c r="AN75" s="413"/>
      <c r="AO75" s="414"/>
      <c r="AP75" s="413"/>
      <c r="AQ75" s="413"/>
      <c r="AR75" s="413"/>
      <c r="AS75" s="413"/>
      <c r="AT75" s="413"/>
      <c r="AU75" s="413"/>
      <c r="AV75" s="413"/>
      <c r="AW75" s="413"/>
      <c r="AX75" s="413"/>
      <c r="AY75" s="414"/>
      <c r="AZ75" s="413"/>
      <c r="BA75" s="413"/>
      <c r="BB75" s="413"/>
      <c r="BC75" s="413"/>
      <c r="BD75" s="413"/>
      <c r="BE75" s="413"/>
      <c r="BF75" s="413"/>
      <c r="BG75" s="413"/>
      <c r="BH75" s="413"/>
      <c r="BI75" s="414"/>
      <c r="BJ75" s="413"/>
      <c r="BK75" s="413"/>
      <c r="BL75" s="413"/>
      <c r="BM75" s="413"/>
      <c r="BN75" s="413"/>
      <c r="BO75" s="413"/>
      <c r="BP75" s="413"/>
      <c r="BQ75" s="413"/>
      <c r="BR75" s="413"/>
      <c r="BS75" s="413"/>
      <c r="BT75" s="413"/>
      <c r="BU75" s="413"/>
      <c r="BV75" s="413"/>
      <c r="BW75" s="413"/>
      <c r="BX75" s="413"/>
      <c r="BY75" s="413"/>
      <c r="BZ75" s="413"/>
      <c r="CA75" s="413"/>
      <c r="CB75" s="413"/>
      <c r="CC75" s="413"/>
      <c r="CD75" s="413"/>
      <c r="CE75" s="413"/>
      <c r="CF75" s="413"/>
      <c r="CG75" s="413"/>
      <c r="CH75" s="413"/>
      <c r="CI75" s="413"/>
      <c r="CJ75" s="413"/>
      <c r="CK75" s="413"/>
      <c r="CL75" s="413"/>
      <c r="CM75" s="414"/>
      <c r="CN75" s="413"/>
      <c r="CO75" s="413"/>
      <c r="CP75" s="413"/>
      <c r="CQ75" s="413"/>
      <c r="CR75" s="413"/>
      <c r="CS75" s="413"/>
      <c r="CT75" s="413"/>
      <c r="CU75" s="413"/>
      <c r="CV75" s="413"/>
      <c r="CW75" s="414"/>
      <c r="CX75" s="413"/>
      <c r="CY75" s="413"/>
      <c r="CZ75" s="413"/>
      <c r="DA75" s="413"/>
      <c r="DB75" s="413"/>
      <c r="DC75" s="413"/>
      <c r="DD75" s="413"/>
      <c r="DE75" s="413"/>
      <c r="DF75" s="413"/>
      <c r="DG75" s="414"/>
      <c r="DH75" s="413"/>
      <c r="DI75" s="413"/>
      <c r="DJ75" s="413"/>
      <c r="DK75" s="413"/>
      <c r="DL75" s="413"/>
      <c r="DM75" s="413"/>
      <c r="DN75" s="413"/>
      <c r="DO75" s="413"/>
      <c r="DP75" s="413"/>
      <c r="DQ75" s="414"/>
      <c r="DR75" s="413"/>
      <c r="DS75" s="413"/>
      <c r="DT75" s="413"/>
      <c r="DU75" s="413"/>
      <c r="DV75" s="413"/>
      <c r="DW75" s="413"/>
      <c r="DX75" s="413"/>
      <c r="DY75" s="413"/>
      <c r="DZ75" s="413"/>
      <c r="EA75" s="413"/>
      <c r="EB75" s="413"/>
      <c r="EC75" s="413"/>
      <c r="ED75" s="413"/>
      <c r="EE75" s="413"/>
      <c r="EF75" s="413"/>
      <c r="EG75" s="413"/>
      <c r="EH75" s="413"/>
      <c r="EI75" s="413"/>
      <c r="EJ75" s="413"/>
      <c r="EK75" s="413"/>
      <c r="EL75" s="413"/>
      <c r="EM75" s="452"/>
      <c r="EN75" s="413"/>
      <c r="EO75" s="453"/>
      <c r="EP75" s="413"/>
      <c r="EQ75" s="434"/>
      <c r="ER75" s="434"/>
      <c r="ES75" s="434"/>
      <c r="ET75" s="434"/>
      <c r="EU75" s="434"/>
      <c r="EV75" s="434"/>
      <c r="EW75" s="434"/>
      <c r="EX75" s="434"/>
      <c r="EY75" s="434"/>
      <c r="EZ75" s="434"/>
      <c r="FA75" s="434"/>
      <c r="FB75" s="434"/>
      <c r="FC75" s="399"/>
      <c r="FD75" s="399"/>
      <c r="FE75" s="399"/>
      <c r="FF75" s="399"/>
      <c r="FG75" s="415"/>
      <c r="FH75" s="415"/>
      <c r="FI75" s="415"/>
      <c r="FJ75" s="415"/>
      <c r="FK75" s="415"/>
      <c r="FL75" s="415"/>
      <c r="FM75" s="415"/>
    </row>
    <row r="76" spans="1:169" hidden="1">
      <c r="A76" s="410" t="s">
        <v>1319</v>
      </c>
      <c r="B76" s="465" t="s">
        <v>1341</v>
      </c>
      <c r="C76" s="412"/>
      <c r="D76" s="412"/>
      <c r="E76" s="412"/>
      <c r="F76" s="412"/>
      <c r="G76" s="412"/>
      <c r="H76" s="412"/>
      <c r="I76" s="412"/>
      <c r="J76" s="412"/>
      <c r="K76" s="412"/>
      <c r="L76" s="412"/>
      <c r="M76" s="413"/>
      <c r="N76" s="413"/>
      <c r="O76" s="413"/>
      <c r="P76" s="413"/>
      <c r="Q76" s="413"/>
      <c r="R76" s="413"/>
      <c r="S76" s="413"/>
      <c r="T76" s="413"/>
      <c r="U76" s="413"/>
      <c r="V76" s="413"/>
      <c r="W76" s="413"/>
      <c r="X76" s="413"/>
      <c r="Y76" s="413"/>
      <c r="Z76" s="413"/>
      <c r="AA76" s="413"/>
      <c r="AB76" s="413"/>
      <c r="AC76" s="413"/>
      <c r="AD76" s="413"/>
      <c r="AE76" s="413"/>
      <c r="AF76" s="413"/>
      <c r="AG76" s="413"/>
      <c r="AH76" s="413"/>
      <c r="AI76" s="413"/>
      <c r="AJ76" s="413"/>
      <c r="AK76" s="413"/>
      <c r="AL76" s="413"/>
      <c r="AM76" s="413"/>
      <c r="AN76" s="413"/>
      <c r="AO76" s="414"/>
      <c r="AP76" s="413"/>
      <c r="AQ76" s="413"/>
      <c r="AR76" s="413"/>
      <c r="AS76" s="413"/>
      <c r="AT76" s="413"/>
      <c r="AU76" s="413"/>
      <c r="AV76" s="413"/>
      <c r="AW76" s="413"/>
      <c r="AX76" s="413"/>
      <c r="AY76" s="414"/>
      <c r="AZ76" s="413"/>
      <c r="BA76" s="413"/>
      <c r="BB76" s="413"/>
      <c r="BC76" s="413"/>
      <c r="BD76" s="413"/>
      <c r="BE76" s="413"/>
      <c r="BF76" s="413"/>
      <c r="BG76" s="413"/>
      <c r="BH76" s="413"/>
      <c r="BI76" s="414"/>
      <c r="BJ76" s="413"/>
      <c r="BK76" s="413"/>
      <c r="BL76" s="413"/>
      <c r="BM76" s="413"/>
      <c r="BN76" s="413"/>
      <c r="BO76" s="413"/>
      <c r="BP76" s="413"/>
      <c r="BQ76" s="413"/>
      <c r="BR76" s="413"/>
      <c r="BS76" s="413"/>
      <c r="BT76" s="413"/>
      <c r="BU76" s="413"/>
      <c r="BV76" s="413"/>
      <c r="BW76" s="413"/>
      <c r="BX76" s="413"/>
      <c r="BY76" s="413"/>
      <c r="BZ76" s="413"/>
      <c r="CA76" s="413"/>
      <c r="CB76" s="413"/>
      <c r="CC76" s="413"/>
      <c r="CD76" s="413"/>
      <c r="CE76" s="413"/>
      <c r="CF76" s="413"/>
      <c r="CG76" s="413"/>
      <c r="CH76" s="413"/>
      <c r="CI76" s="413"/>
      <c r="CJ76" s="413"/>
      <c r="CK76" s="413"/>
      <c r="CL76" s="413"/>
      <c r="CM76" s="414"/>
      <c r="CN76" s="413"/>
      <c r="CO76" s="413"/>
      <c r="CP76" s="413"/>
      <c r="CQ76" s="413"/>
      <c r="CR76" s="413"/>
      <c r="CS76" s="413"/>
      <c r="CT76" s="413"/>
      <c r="CU76" s="413"/>
      <c r="CV76" s="413"/>
      <c r="CW76" s="414"/>
      <c r="CX76" s="413"/>
      <c r="CY76" s="413"/>
      <c r="CZ76" s="413"/>
      <c r="DA76" s="413"/>
      <c r="DB76" s="413"/>
      <c r="DC76" s="413"/>
      <c r="DD76" s="413"/>
      <c r="DE76" s="413"/>
      <c r="DF76" s="413"/>
      <c r="DG76" s="414"/>
      <c r="DH76" s="413"/>
      <c r="DI76" s="413"/>
      <c r="DJ76" s="413"/>
      <c r="DK76" s="413"/>
      <c r="DL76" s="413"/>
      <c r="DM76" s="413"/>
      <c r="DN76" s="413"/>
      <c r="DO76" s="413"/>
      <c r="DP76" s="413"/>
      <c r="DQ76" s="414"/>
      <c r="DR76" s="413"/>
      <c r="DS76" s="413"/>
      <c r="DT76" s="413"/>
      <c r="DU76" s="413"/>
      <c r="DV76" s="413"/>
      <c r="DW76" s="413"/>
      <c r="DX76" s="413"/>
      <c r="DY76" s="413"/>
      <c r="DZ76" s="413"/>
      <c r="EA76" s="413"/>
      <c r="EB76" s="413"/>
      <c r="EC76" s="413"/>
      <c r="ED76" s="413"/>
      <c r="EE76" s="413"/>
      <c r="EF76" s="413"/>
      <c r="EG76" s="413"/>
      <c r="EH76" s="413"/>
      <c r="EI76" s="413"/>
      <c r="EJ76" s="413"/>
      <c r="EK76" s="413"/>
      <c r="EL76" s="413"/>
      <c r="EM76" s="452"/>
      <c r="EN76" s="413"/>
      <c r="EO76" s="453"/>
      <c r="EP76" s="413"/>
      <c r="EQ76" s="434"/>
      <c r="ER76" s="434"/>
      <c r="ES76" s="434"/>
      <c r="ET76" s="434"/>
      <c r="EU76" s="434"/>
      <c r="EV76" s="434"/>
      <c r="EW76" s="434"/>
      <c r="EX76" s="434"/>
      <c r="EY76" s="434"/>
      <c r="EZ76" s="434"/>
      <c r="FA76" s="434"/>
      <c r="FB76" s="434"/>
      <c r="FC76" s="399"/>
      <c r="FD76" s="399"/>
      <c r="FE76" s="399"/>
      <c r="FF76" s="399"/>
      <c r="FG76" s="415"/>
      <c r="FH76" s="415"/>
      <c r="FI76" s="415"/>
      <c r="FJ76" s="415"/>
      <c r="FK76" s="415"/>
      <c r="FL76" s="415"/>
      <c r="FM76" s="415"/>
    </row>
    <row r="77" spans="1:169" hidden="1">
      <c r="A77" s="410" t="s">
        <v>1321</v>
      </c>
      <c r="B77" s="465" t="s">
        <v>1342</v>
      </c>
      <c r="C77" s="412"/>
      <c r="D77" s="412"/>
      <c r="E77" s="412"/>
      <c r="F77" s="412"/>
      <c r="G77" s="412"/>
      <c r="H77" s="412"/>
      <c r="I77" s="412"/>
      <c r="J77" s="412"/>
      <c r="K77" s="412"/>
      <c r="L77" s="412"/>
      <c r="M77" s="413"/>
      <c r="N77" s="413"/>
      <c r="O77" s="413"/>
      <c r="P77" s="413"/>
      <c r="Q77" s="413"/>
      <c r="R77" s="413"/>
      <c r="S77" s="413"/>
      <c r="T77" s="413"/>
      <c r="U77" s="413"/>
      <c r="V77" s="413"/>
      <c r="W77" s="413"/>
      <c r="X77" s="413"/>
      <c r="Y77" s="413"/>
      <c r="Z77" s="413"/>
      <c r="AA77" s="413"/>
      <c r="AB77" s="413"/>
      <c r="AC77" s="413"/>
      <c r="AD77" s="413"/>
      <c r="AE77" s="413"/>
      <c r="AF77" s="413"/>
      <c r="AG77" s="413"/>
      <c r="AH77" s="413"/>
      <c r="AI77" s="413"/>
      <c r="AJ77" s="413"/>
      <c r="AK77" s="413"/>
      <c r="AL77" s="413"/>
      <c r="AM77" s="413"/>
      <c r="AN77" s="413"/>
      <c r="AO77" s="414"/>
      <c r="AP77" s="413"/>
      <c r="AQ77" s="413"/>
      <c r="AR77" s="413"/>
      <c r="AS77" s="413"/>
      <c r="AT77" s="413"/>
      <c r="AU77" s="413"/>
      <c r="AV77" s="413"/>
      <c r="AW77" s="413"/>
      <c r="AX77" s="413"/>
      <c r="AY77" s="414"/>
      <c r="AZ77" s="413"/>
      <c r="BA77" s="413"/>
      <c r="BB77" s="413"/>
      <c r="BC77" s="413"/>
      <c r="BD77" s="413"/>
      <c r="BE77" s="413"/>
      <c r="BF77" s="413"/>
      <c r="BG77" s="413"/>
      <c r="BH77" s="413"/>
      <c r="BI77" s="414"/>
      <c r="BJ77" s="413"/>
      <c r="BK77" s="413"/>
      <c r="BL77" s="413"/>
      <c r="BM77" s="413"/>
      <c r="BN77" s="413"/>
      <c r="BO77" s="413"/>
      <c r="BP77" s="413"/>
      <c r="BQ77" s="413"/>
      <c r="BR77" s="413"/>
      <c r="BS77" s="413"/>
      <c r="BT77" s="413"/>
      <c r="BU77" s="413"/>
      <c r="BV77" s="413"/>
      <c r="BW77" s="413"/>
      <c r="BX77" s="413"/>
      <c r="BY77" s="413"/>
      <c r="BZ77" s="413"/>
      <c r="CA77" s="413"/>
      <c r="CB77" s="413"/>
      <c r="CC77" s="413"/>
      <c r="CD77" s="413"/>
      <c r="CE77" s="413"/>
      <c r="CF77" s="413"/>
      <c r="CG77" s="413"/>
      <c r="CH77" s="413"/>
      <c r="CI77" s="413"/>
      <c r="CJ77" s="413"/>
      <c r="CK77" s="413"/>
      <c r="CL77" s="413"/>
      <c r="CM77" s="414"/>
      <c r="CN77" s="413"/>
      <c r="CO77" s="413"/>
      <c r="CP77" s="413"/>
      <c r="CQ77" s="413"/>
      <c r="CR77" s="413"/>
      <c r="CS77" s="413"/>
      <c r="CT77" s="413"/>
      <c r="CU77" s="413"/>
      <c r="CV77" s="413"/>
      <c r="CW77" s="414"/>
      <c r="CX77" s="413"/>
      <c r="CY77" s="413"/>
      <c r="CZ77" s="413"/>
      <c r="DA77" s="413"/>
      <c r="DB77" s="413"/>
      <c r="DC77" s="413"/>
      <c r="DD77" s="413"/>
      <c r="DE77" s="413"/>
      <c r="DF77" s="413"/>
      <c r="DG77" s="414"/>
      <c r="DH77" s="413"/>
      <c r="DI77" s="413"/>
      <c r="DJ77" s="413"/>
      <c r="DK77" s="413"/>
      <c r="DL77" s="413"/>
      <c r="DM77" s="413"/>
      <c r="DN77" s="413"/>
      <c r="DO77" s="413"/>
      <c r="DP77" s="413"/>
      <c r="DQ77" s="414"/>
      <c r="DR77" s="413"/>
      <c r="DS77" s="413"/>
      <c r="DT77" s="413"/>
      <c r="DU77" s="413"/>
      <c r="DV77" s="413"/>
      <c r="DW77" s="413"/>
      <c r="DX77" s="413"/>
      <c r="DY77" s="413"/>
      <c r="DZ77" s="413"/>
      <c r="EA77" s="413"/>
      <c r="EB77" s="413"/>
      <c r="EC77" s="413"/>
      <c r="ED77" s="413"/>
      <c r="EE77" s="413"/>
      <c r="EF77" s="413"/>
      <c r="EG77" s="413"/>
      <c r="EH77" s="413"/>
      <c r="EI77" s="413"/>
      <c r="EJ77" s="413"/>
      <c r="EK77" s="413"/>
      <c r="EL77" s="413"/>
      <c r="EM77" s="452"/>
      <c r="EN77" s="413"/>
      <c r="EO77" s="453"/>
      <c r="EP77" s="413"/>
      <c r="EQ77" s="434"/>
      <c r="ER77" s="434"/>
      <c r="ES77" s="434"/>
      <c r="ET77" s="434"/>
      <c r="EU77" s="434"/>
      <c r="EV77" s="434"/>
      <c r="EW77" s="434"/>
      <c r="EX77" s="434"/>
      <c r="EY77" s="434"/>
      <c r="EZ77" s="434"/>
      <c r="FA77" s="434"/>
      <c r="FB77" s="434"/>
      <c r="FC77" s="399"/>
      <c r="FD77" s="399"/>
      <c r="FE77" s="399"/>
      <c r="FF77" s="399"/>
      <c r="FG77" s="415"/>
      <c r="FH77" s="415"/>
      <c r="FI77" s="415"/>
      <c r="FJ77" s="415"/>
      <c r="FK77" s="415"/>
      <c r="FL77" s="415"/>
      <c r="FM77" s="415"/>
    </row>
    <row r="78" spans="1:169" hidden="1">
      <c r="A78" s="410" t="s">
        <v>1320</v>
      </c>
      <c r="B78" s="465" t="s">
        <v>1343</v>
      </c>
      <c r="C78" s="412"/>
      <c r="D78" s="412"/>
      <c r="E78" s="412"/>
      <c r="F78" s="412"/>
      <c r="G78" s="412"/>
      <c r="H78" s="412"/>
      <c r="I78" s="412"/>
      <c r="J78" s="412"/>
      <c r="K78" s="412"/>
      <c r="L78" s="412"/>
      <c r="M78" s="413"/>
      <c r="N78" s="413"/>
      <c r="O78" s="413"/>
      <c r="P78" s="413"/>
      <c r="Q78" s="413"/>
      <c r="R78" s="413"/>
      <c r="S78" s="413"/>
      <c r="T78" s="413"/>
      <c r="U78" s="413"/>
      <c r="V78" s="413"/>
      <c r="W78" s="413"/>
      <c r="X78" s="413"/>
      <c r="Y78" s="413"/>
      <c r="Z78" s="413"/>
      <c r="AA78" s="413"/>
      <c r="AB78" s="413"/>
      <c r="AC78" s="413"/>
      <c r="AD78" s="413"/>
      <c r="AE78" s="413"/>
      <c r="AF78" s="413"/>
      <c r="AG78" s="413"/>
      <c r="AH78" s="413"/>
      <c r="AI78" s="413"/>
      <c r="AJ78" s="413"/>
      <c r="AK78" s="413"/>
      <c r="AL78" s="413"/>
      <c r="AM78" s="413"/>
      <c r="AN78" s="413"/>
      <c r="AO78" s="414"/>
      <c r="AP78" s="413"/>
      <c r="AQ78" s="413"/>
      <c r="AR78" s="413"/>
      <c r="AS78" s="413"/>
      <c r="AT78" s="413"/>
      <c r="AU78" s="413"/>
      <c r="AV78" s="413"/>
      <c r="AW78" s="413"/>
      <c r="AX78" s="413"/>
      <c r="AY78" s="414"/>
      <c r="AZ78" s="413"/>
      <c r="BA78" s="413"/>
      <c r="BB78" s="413"/>
      <c r="BC78" s="413"/>
      <c r="BD78" s="413"/>
      <c r="BE78" s="413"/>
      <c r="BF78" s="413"/>
      <c r="BG78" s="413"/>
      <c r="BH78" s="413"/>
      <c r="BI78" s="414"/>
      <c r="BJ78" s="413"/>
      <c r="BK78" s="413"/>
      <c r="BL78" s="413"/>
      <c r="BM78" s="413"/>
      <c r="BN78" s="413"/>
      <c r="BO78" s="413"/>
      <c r="BP78" s="413"/>
      <c r="BQ78" s="413"/>
      <c r="BR78" s="413"/>
      <c r="BS78" s="413"/>
      <c r="BT78" s="413"/>
      <c r="BU78" s="413"/>
      <c r="BV78" s="413"/>
      <c r="BW78" s="413"/>
      <c r="BX78" s="413"/>
      <c r="BY78" s="413"/>
      <c r="BZ78" s="413"/>
      <c r="CA78" s="413"/>
      <c r="CB78" s="413"/>
      <c r="CC78" s="413"/>
      <c r="CD78" s="413"/>
      <c r="CE78" s="413"/>
      <c r="CF78" s="413"/>
      <c r="CG78" s="413"/>
      <c r="CH78" s="413"/>
      <c r="CI78" s="413"/>
      <c r="CJ78" s="413"/>
      <c r="CK78" s="413"/>
      <c r="CL78" s="413"/>
      <c r="CM78" s="414"/>
      <c r="CN78" s="413"/>
      <c r="CO78" s="413"/>
      <c r="CP78" s="413"/>
      <c r="CQ78" s="413"/>
      <c r="CR78" s="413"/>
      <c r="CS78" s="413"/>
      <c r="CT78" s="413"/>
      <c r="CU78" s="413"/>
      <c r="CV78" s="413"/>
      <c r="CW78" s="414"/>
      <c r="CX78" s="413"/>
      <c r="CY78" s="413"/>
      <c r="CZ78" s="413"/>
      <c r="DA78" s="413"/>
      <c r="DB78" s="413"/>
      <c r="DC78" s="413"/>
      <c r="DD78" s="413"/>
      <c r="DE78" s="413"/>
      <c r="DF78" s="413"/>
      <c r="DG78" s="414"/>
      <c r="DH78" s="413"/>
      <c r="DI78" s="413"/>
      <c r="DJ78" s="413"/>
      <c r="DK78" s="413"/>
      <c r="DL78" s="413"/>
      <c r="DM78" s="413"/>
      <c r="DN78" s="413"/>
      <c r="DO78" s="413"/>
      <c r="DP78" s="413"/>
      <c r="DQ78" s="414"/>
      <c r="DR78" s="413"/>
      <c r="DS78" s="413"/>
      <c r="DT78" s="413"/>
      <c r="DU78" s="413"/>
      <c r="DV78" s="413"/>
      <c r="DW78" s="413"/>
      <c r="DX78" s="413"/>
      <c r="DY78" s="413"/>
      <c r="DZ78" s="413"/>
      <c r="EA78" s="413"/>
      <c r="EB78" s="413"/>
      <c r="EC78" s="413"/>
      <c r="ED78" s="413"/>
      <c r="EE78" s="413"/>
      <c r="EF78" s="413"/>
      <c r="EG78" s="413"/>
      <c r="EH78" s="413"/>
      <c r="EI78" s="413"/>
      <c r="EJ78" s="413"/>
      <c r="EK78" s="413"/>
      <c r="EL78" s="413"/>
      <c r="EM78" s="452"/>
      <c r="EN78" s="413"/>
      <c r="EO78" s="453"/>
      <c r="EP78" s="413"/>
      <c r="EQ78" s="434"/>
      <c r="ER78" s="434"/>
      <c r="ES78" s="434"/>
      <c r="ET78" s="434"/>
      <c r="EU78" s="434"/>
      <c r="EV78" s="434"/>
      <c r="EW78" s="434"/>
      <c r="EX78" s="434"/>
      <c r="EY78" s="434"/>
      <c r="EZ78" s="434"/>
      <c r="FA78" s="434"/>
      <c r="FB78" s="434"/>
      <c r="FC78" s="399"/>
      <c r="FD78" s="399"/>
      <c r="FE78" s="399"/>
      <c r="FF78" s="399"/>
      <c r="FG78" s="415"/>
      <c r="FH78" s="415"/>
      <c r="FI78" s="415"/>
      <c r="FJ78" s="415"/>
      <c r="FK78" s="415"/>
      <c r="FL78" s="415"/>
      <c r="FM78" s="415"/>
    </row>
    <row r="79" spans="1:169" hidden="1">
      <c r="A79" s="410" t="s">
        <v>1348</v>
      </c>
      <c r="B79" s="465" t="s">
        <v>1344</v>
      </c>
      <c r="C79" s="412"/>
      <c r="D79" s="412"/>
      <c r="E79" s="412"/>
      <c r="F79" s="412"/>
      <c r="G79" s="412"/>
      <c r="H79" s="412"/>
      <c r="I79" s="412"/>
      <c r="J79" s="412"/>
      <c r="K79" s="412"/>
      <c r="L79" s="412"/>
      <c r="M79" s="413"/>
      <c r="N79" s="413"/>
      <c r="O79" s="413"/>
      <c r="P79" s="413"/>
      <c r="Q79" s="413"/>
      <c r="R79" s="413"/>
      <c r="S79" s="413"/>
      <c r="T79" s="413"/>
      <c r="U79" s="413"/>
      <c r="V79" s="413"/>
      <c r="W79" s="413"/>
      <c r="X79" s="413"/>
      <c r="Y79" s="413"/>
      <c r="Z79" s="413"/>
      <c r="AA79" s="413"/>
      <c r="AB79" s="413"/>
      <c r="AC79" s="413"/>
      <c r="AD79" s="413"/>
      <c r="AE79" s="413"/>
      <c r="AF79" s="413"/>
      <c r="AG79" s="413"/>
      <c r="AH79" s="413"/>
      <c r="AI79" s="413"/>
      <c r="AJ79" s="413"/>
      <c r="AK79" s="413"/>
      <c r="AL79" s="413"/>
      <c r="AM79" s="413"/>
      <c r="AN79" s="413"/>
      <c r="AO79" s="414"/>
      <c r="AP79" s="413"/>
      <c r="AQ79" s="413"/>
      <c r="AR79" s="413"/>
      <c r="AS79" s="413"/>
      <c r="AT79" s="413"/>
      <c r="AU79" s="413"/>
      <c r="AV79" s="413"/>
      <c r="AW79" s="413"/>
      <c r="AX79" s="413"/>
      <c r="AY79" s="414"/>
      <c r="AZ79" s="413"/>
      <c r="BA79" s="413"/>
      <c r="BB79" s="413"/>
      <c r="BC79" s="413"/>
      <c r="BD79" s="413"/>
      <c r="BE79" s="413"/>
      <c r="BF79" s="413"/>
      <c r="BG79" s="413"/>
      <c r="BH79" s="413"/>
      <c r="BI79" s="414"/>
      <c r="BJ79" s="413"/>
      <c r="BK79" s="413"/>
      <c r="BL79" s="413"/>
      <c r="BM79" s="413"/>
      <c r="BN79" s="413"/>
      <c r="BO79" s="413"/>
      <c r="BP79" s="413"/>
      <c r="BQ79" s="413"/>
      <c r="BR79" s="413"/>
      <c r="BS79" s="413"/>
      <c r="BT79" s="413"/>
      <c r="BU79" s="413"/>
      <c r="BV79" s="413"/>
      <c r="BW79" s="413"/>
      <c r="BX79" s="413"/>
      <c r="BY79" s="413"/>
      <c r="BZ79" s="413"/>
      <c r="CA79" s="413"/>
      <c r="CB79" s="413"/>
      <c r="CC79" s="413"/>
      <c r="CD79" s="413"/>
      <c r="CE79" s="413"/>
      <c r="CF79" s="413"/>
      <c r="CG79" s="413"/>
      <c r="CH79" s="413"/>
      <c r="CI79" s="413"/>
      <c r="CJ79" s="413"/>
      <c r="CK79" s="413"/>
      <c r="CL79" s="413"/>
      <c r="CM79" s="414"/>
      <c r="CN79" s="413"/>
      <c r="CO79" s="413"/>
      <c r="CP79" s="413"/>
      <c r="CQ79" s="413"/>
      <c r="CR79" s="413"/>
      <c r="CS79" s="413"/>
      <c r="CT79" s="413"/>
      <c r="CU79" s="413"/>
      <c r="CV79" s="413"/>
      <c r="CW79" s="414"/>
      <c r="CX79" s="413"/>
      <c r="CY79" s="413"/>
      <c r="CZ79" s="413"/>
      <c r="DA79" s="413"/>
      <c r="DB79" s="413"/>
      <c r="DC79" s="413"/>
      <c r="DD79" s="413"/>
      <c r="DE79" s="413"/>
      <c r="DF79" s="413"/>
      <c r="DG79" s="414"/>
      <c r="DH79" s="413"/>
      <c r="DI79" s="413"/>
      <c r="DJ79" s="413"/>
      <c r="DK79" s="413"/>
      <c r="DL79" s="413"/>
      <c r="DM79" s="413"/>
      <c r="DN79" s="413"/>
      <c r="DO79" s="413"/>
      <c r="DP79" s="413"/>
      <c r="DQ79" s="414"/>
      <c r="DR79" s="413"/>
      <c r="DS79" s="413"/>
      <c r="DT79" s="413"/>
      <c r="DU79" s="413"/>
      <c r="DV79" s="413"/>
      <c r="DW79" s="413"/>
      <c r="DX79" s="413"/>
      <c r="DY79" s="413"/>
      <c r="DZ79" s="413"/>
      <c r="EA79" s="413"/>
      <c r="EB79" s="413"/>
      <c r="EC79" s="413"/>
      <c r="ED79" s="413"/>
      <c r="EE79" s="413"/>
      <c r="EF79" s="413"/>
      <c r="EG79" s="413"/>
      <c r="EH79" s="413"/>
      <c r="EI79" s="413"/>
      <c r="EJ79" s="413"/>
      <c r="EK79" s="413"/>
      <c r="EL79" s="413"/>
      <c r="EM79" s="452"/>
      <c r="EN79" s="413"/>
      <c r="EO79" s="453"/>
      <c r="EP79" s="413"/>
      <c r="EQ79" s="434"/>
      <c r="ER79" s="434"/>
      <c r="ES79" s="434"/>
      <c r="ET79" s="434"/>
      <c r="EU79" s="434"/>
      <c r="EV79" s="434"/>
      <c r="EW79" s="434"/>
      <c r="EX79" s="434"/>
      <c r="EY79" s="434"/>
      <c r="EZ79" s="434"/>
      <c r="FA79" s="434"/>
      <c r="FB79" s="434"/>
      <c r="FC79" s="399"/>
      <c r="FD79" s="399"/>
      <c r="FE79" s="399"/>
      <c r="FF79" s="399"/>
      <c r="FG79" s="415"/>
      <c r="FH79" s="415"/>
      <c r="FI79" s="415"/>
      <c r="FJ79" s="415"/>
      <c r="FK79" s="415"/>
      <c r="FL79" s="415"/>
      <c r="FM79" s="415"/>
    </row>
    <row r="80" spans="1:169" hidden="1">
      <c r="A80" s="410" t="s">
        <v>1349</v>
      </c>
      <c r="B80" s="465" t="s">
        <v>1345</v>
      </c>
      <c r="C80" s="412"/>
      <c r="D80" s="412"/>
      <c r="E80" s="412"/>
      <c r="F80" s="412"/>
      <c r="G80" s="412"/>
      <c r="H80" s="412"/>
      <c r="I80" s="412"/>
      <c r="J80" s="412"/>
      <c r="K80" s="412"/>
      <c r="L80" s="412"/>
      <c r="M80" s="413"/>
      <c r="N80" s="413"/>
      <c r="O80" s="413"/>
      <c r="P80" s="413"/>
      <c r="Q80" s="413"/>
      <c r="R80" s="413"/>
      <c r="S80" s="413"/>
      <c r="T80" s="413"/>
      <c r="U80" s="413"/>
      <c r="V80" s="413"/>
      <c r="W80" s="413"/>
      <c r="X80" s="413"/>
      <c r="Y80" s="413"/>
      <c r="Z80" s="413"/>
      <c r="AA80" s="413"/>
      <c r="AB80" s="413"/>
      <c r="AC80" s="413"/>
      <c r="AD80" s="413"/>
      <c r="AE80" s="413"/>
      <c r="AF80" s="413"/>
      <c r="AG80" s="413"/>
      <c r="AH80" s="413"/>
      <c r="AI80" s="413"/>
      <c r="AJ80" s="413"/>
      <c r="AK80" s="413"/>
      <c r="AL80" s="413"/>
      <c r="AM80" s="413"/>
      <c r="AN80" s="413"/>
      <c r="AO80" s="414"/>
      <c r="AP80" s="413"/>
      <c r="AQ80" s="413"/>
      <c r="AR80" s="413"/>
      <c r="AS80" s="413"/>
      <c r="AT80" s="413"/>
      <c r="AU80" s="413"/>
      <c r="AV80" s="413"/>
      <c r="AW80" s="413"/>
      <c r="AX80" s="413"/>
      <c r="AY80" s="414"/>
      <c r="AZ80" s="413"/>
      <c r="BA80" s="413"/>
      <c r="BB80" s="413"/>
      <c r="BC80" s="413"/>
      <c r="BD80" s="413"/>
      <c r="BE80" s="413"/>
      <c r="BF80" s="413"/>
      <c r="BG80" s="413"/>
      <c r="BH80" s="413"/>
      <c r="BI80" s="414"/>
      <c r="BJ80" s="413"/>
      <c r="BK80" s="413"/>
      <c r="BL80" s="413"/>
      <c r="BM80" s="413"/>
      <c r="BN80" s="413"/>
      <c r="BO80" s="413"/>
      <c r="BP80" s="413"/>
      <c r="BQ80" s="413"/>
      <c r="BR80" s="413"/>
      <c r="BS80" s="413"/>
      <c r="BT80" s="413"/>
      <c r="BU80" s="413"/>
      <c r="BV80" s="413"/>
      <c r="BW80" s="413"/>
      <c r="BX80" s="413"/>
      <c r="BY80" s="413"/>
      <c r="BZ80" s="413"/>
      <c r="CA80" s="413"/>
      <c r="CB80" s="413"/>
      <c r="CC80" s="413"/>
      <c r="CD80" s="413"/>
      <c r="CE80" s="413"/>
      <c r="CF80" s="413"/>
      <c r="CG80" s="413"/>
      <c r="CH80" s="413"/>
      <c r="CI80" s="413"/>
      <c r="CJ80" s="413"/>
      <c r="CK80" s="413"/>
      <c r="CL80" s="413"/>
      <c r="CM80" s="414"/>
      <c r="CN80" s="413"/>
      <c r="CO80" s="413"/>
      <c r="CP80" s="413"/>
      <c r="CQ80" s="413"/>
      <c r="CR80" s="413"/>
      <c r="CS80" s="413"/>
      <c r="CT80" s="413"/>
      <c r="CU80" s="413"/>
      <c r="CV80" s="413"/>
      <c r="CW80" s="414"/>
      <c r="CX80" s="413"/>
      <c r="CY80" s="413"/>
      <c r="CZ80" s="413"/>
      <c r="DA80" s="413"/>
      <c r="DB80" s="413"/>
      <c r="DC80" s="413"/>
      <c r="DD80" s="413"/>
      <c r="DE80" s="413"/>
      <c r="DF80" s="413"/>
      <c r="DG80" s="414"/>
      <c r="DH80" s="413"/>
      <c r="DI80" s="413"/>
      <c r="DJ80" s="413"/>
      <c r="DK80" s="413"/>
      <c r="DL80" s="413"/>
      <c r="DM80" s="413"/>
      <c r="DN80" s="413"/>
      <c r="DO80" s="413"/>
      <c r="DP80" s="413"/>
      <c r="DQ80" s="414"/>
      <c r="DR80" s="413"/>
      <c r="DS80" s="413"/>
      <c r="DT80" s="413"/>
      <c r="DU80" s="413"/>
      <c r="DV80" s="413"/>
      <c r="DW80" s="413"/>
      <c r="DX80" s="413"/>
      <c r="DY80" s="413"/>
      <c r="DZ80" s="413"/>
      <c r="EA80" s="413"/>
      <c r="EB80" s="413"/>
      <c r="EC80" s="413"/>
      <c r="ED80" s="413"/>
      <c r="EE80" s="413"/>
      <c r="EF80" s="413"/>
      <c r="EG80" s="413"/>
      <c r="EH80" s="413"/>
      <c r="EI80" s="413"/>
      <c r="EJ80" s="413"/>
      <c r="EK80" s="413"/>
      <c r="EL80" s="413"/>
      <c r="EM80" s="452"/>
      <c r="EN80" s="413"/>
      <c r="EO80" s="453"/>
      <c r="EP80" s="413"/>
      <c r="EQ80" s="434"/>
      <c r="ER80" s="434"/>
      <c r="ES80" s="434"/>
      <c r="ET80" s="434"/>
      <c r="EU80" s="434"/>
      <c r="EV80" s="434"/>
      <c r="EW80" s="434"/>
      <c r="EX80" s="434"/>
      <c r="EY80" s="434"/>
      <c r="EZ80" s="434"/>
      <c r="FA80" s="434"/>
      <c r="FB80" s="434"/>
      <c r="FC80" s="399"/>
      <c r="FD80" s="399"/>
      <c r="FE80" s="399"/>
      <c r="FF80" s="399"/>
      <c r="FG80" s="415"/>
      <c r="FH80" s="415"/>
      <c r="FI80" s="415"/>
      <c r="FJ80" s="415"/>
      <c r="FK80" s="415"/>
      <c r="FL80" s="415"/>
      <c r="FM80" s="415"/>
    </row>
    <row r="81" spans="1:169" hidden="1">
      <c r="A81" s="410" t="s">
        <v>1349</v>
      </c>
      <c r="B81" s="465" t="s">
        <v>1346</v>
      </c>
      <c r="C81" s="412"/>
      <c r="D81" s="412"/>
      <c r="E81" s="412"/>
      <c r="F81" s="412"/>
      <c r="G81" s="412"/>
      <c r="H81" s="412"/>
      <c r="I81" s="412"/>
      <c r="J81" s="412"/>
      <c r="K81" s="412"/>
      <c r="L81" s="412"/>
      <c r="M81" s="413"/>
      <c r="N81" s="413"/>
      <c r="O81" s="413"/>
      <c r="P81" s="413"/>
      <c r="Q81" s="413"/>
      <c r="R81" s="413"/>
      <c r="S81" s="413"/>
      <c r="T81" s="413"/>
      <c r="U81" s="413"/>
      <c r="V81" s="413"/>
      <c r="W81" s="413"/>
      <c r="X81" s="413"/>
      <c r="Y81" s="413"/>
      <c r="Z81" s="413"/>
      <c r="AA81" s="413"/>
      <c r="AB81" s="413"/>
      <c r="AC81" s="413"/>
      <c r="AD81" s="413"/>
      <c r="AE81" s="413"/>
      <c r="AF81" s="413"/>
      <c r="AG81" s="413"/>
      <c r="AH81" s="413"/>
      <c r="AI81" s="413"/>
      <c r="AJ81" s="413"/>
      <c r="AK81" s="413"/>
      <c r="AL81" s="413"/>
      <c r="AM81" s="413"/>
      <c r="AN81" s="413"/>
      <c r="AO81" s="414"/>
      <c r="AP81" s="413"/>
      <c r="AQ81" s="413"/>
      <c r="AR81" s="413"/>
      <c r="AS81" s="413"/>
      <c r="AT81" s="413"/>
      <c r="AU81" s="413"/>
      <c r="AV81" s="413"/>
      <c r="AW81" s="413"/>
      <c r="AX81" s="413"/>
      <c r="AY81" s="414"/>
      <c r="AZ81" s="413"/>
      <c r="BA81" s="413"/>
      <c r="BB81" s="413"/>
      <c r="BC81" s="413"/>
      <c r="BD81" s="413"/>
      <c r="BE81" s="413"/>
      <c r="BF81" s="413"/>
      <c r="BG81" s="413"/>
      <c r="BH81" s="413"/>
      <c r="BI81" s="414"/>
      <c r="BJ81" s="413"/>
      <c r="BK81" s="413"/>
      <c r="BL81" s="413"/>
      <c r="BM81" s="413"/>
      <c r="BN81" s="413"/>
      <c r="BO81" s="413"/>
      <c r="BP81" s="413"/>
      <c r="BQ81" s="413"/>
      <c r="BR81" s="413"/>
      <c r="BS81" s="413"/>
      <c r="BT81" s="413"/>
      <c r="BU81" s="413"/>
      <c r="BV81" s="413"/>
      <c r="BW81" s="413"/>
      <c r="BX81" s="413"/>
      <c r="BY81" s="413"/>
      <c r="BZ81" s="413"/>
      <c r="CA81" s="413"/>
      <c r="CB81" s="413"/>
      <c r="CC81" s="413"/>
      <c r="CD81" s="413"/>
      <c r="CE81" s="413"/>
      <c r="CF81" s="413"/>
      <c r="CG81" s="413"/>
      <c r="CH81" s="413"/>
      <c r="CI81" s="413"/>
      <c r="CJ81" s="413"/>
      <c r="CK81" s="413"/>
      <c r="CL81" s="413"/>
      <c r="CM81" s="414"/>
      <c r="CN81" s="413"/>
      <c r="CO81" s="413"/>
      <c r="CP81" s="413"/>
      <c r="CQ81" s="413"/>
      <c r="CR81" s="413"/>
      <c r="CS81" s="413"/>
      <c r="CT81" s="413"/>
      <c r="CU81" s="413"/>
      <c r="CV81" s="413"/>
      <c r="CW81" s="414"/>
      <c r="CX81" s="413"/>
      <c r="CY81" s="413"/>
      <c r="CZ81" s="413"/>
      <c r="DA81" s="413"/>
      <c r="DB81" s="413"/>
      <c r="DC81" s="413"/>
      <c r="DD81" s="413"/>
      <c r="DE81" s="413"/>
      <c r="DF81" s="413"/>
      <c r="DG81" s="414"/>
      <c r="DH81" s="413"/>
      <c r="DI81" s="413"/>
      <c r="DJ81" s="413"/>
      <c r="DK81" s="413"/>
      <c r="DL81" s="413"/>
      <c r="DM81" s="413"/>
      <c r="DN81" s="413"/>
      <c r="DO81" s="413"/>
      <c r="DP81" s="413"/>
      <c r="DQ81" s="414"/>
      <c r="DR81" s="413"/>
      <c r="DS81" s="413"/>
      <c r="DT81" s="413"/>
      <c r="DU81" s="413"/>
      <c r="DV81" s="413"/>
      <c r="DW81" s="413"/>
      <c r="DX81" s="413"/>
      <c r="DY81" s="413"/>
      <c r="DZ81" s="413"/>
      <c r="EA81" s="413"/>
      <c r="EB81" s="413"/>
      <c r="EC81" s="413"/>
      <c r="ED81" s="413"/>
      <c r="EE81" s="413"/>
      <c r="EF81" s="413"/>
      <c r="EG81" s="413"/>
      <c r="EH81" s="413"/>
      <c r="EI81" s="413"/>
      <c r="EJ81" s="413"/>
      <c r="EK81" s="413"/>
      <c r="EL81" s="413"/>
      <c r="EM81" s="452"/>
      <c r="EN81" s="413"/>
      <c r="EO81" s="453"/>
      <c r="EP81" s="413"/>
      <c r="EQ81" s="434"/>
      <c r="ER81" s="434"/>
      <c r="ES81" s="434"/>
      <c r="ET81" s="434"/>
      <c r="EU81" s="434"/>
      <c r="EV81" s="434"/>
      <c r="EW81" s="434"/>
      <c r="EX81" s="434"/>
      <c r="EY81" s="434"/>
      <c r="EZ81" s="434"/>
      <c r="FA81" s="434"/>
      <c r="FB81" s="434"/>
      <c r="FC81" s="399"/>
      <c r="FD81" s="399"/>
      <c r="FE81" s="399"/>
      <c r="FF81" s="399"/>
      <c r="FG81" s="415"/>
      <c r="FH81" s="415"/>
      <c r="FI81" s="415"/>
      <c r="FJ81" s="415"/>
      <c r="FK81" s="415"/>
      <c r="FL81" s="415"/>
      <c r="FM81" s="415"/>
    </row>
    <row r="82" spans="1:169" hidden="1">
      <c r="A82" s="410" t="s">
        <v>1351</v>
      </c>
      <c r="B82" s="465" t="s">
        <v>1347</v>
      </c>
      <c r="C82" s="412"/>
      <c r="D82" s="412"/>
      <c r="E82" s="412"/>
      <c r="F82" s="412"/>
      <c r="G82" s="412"/>
      <c r="H82" s="412"/>
      <c r="I82" s="412"/>
      <c r="J82" s="412"/>
      <c r="K82" s="412"/>
      <c r="L82" s="412"/>
      <c r="M82" s="413"/>
      <c r="N82" s="413"/>
      <c r="O82" s="413"/>
      <c r="P82" s="413"/>
      <c r="Q82" s="413"/>
      <c r="R82" s="413"/>
      <c r="S82" s="413"/>
      <c r="T82" s="413"/>
      <c r="U82" s="413"/>
      <c r="V82" s="413"/>
      <c r="W82" s="413"/>
      <c r="X82" s="413"/>
      <c r="Y82" s="413"/>
      <c r="Z82" s="413"/>
      <c r="AA82" s="413"/>
      <c r="AB82" s="413"/>
      <c r="AC82" s="413"/>
      <c r="AD82" s="413"/>
      <c r="AE82" s="413"/>
      <c r="AF82" s="413"/>
      <c r="AG82" s="413"/>
      <c r="AH82" s="413"/>
      <c r="AI82" s="413"/>
      <c r="AJ82" s="413"/>
      <c r="AK82" s="413"/>
      <c r="AL82" s="413"/>
      <c r="AM82" s="413"/>
      <c r="AN82" s="413"/>
      <c r="AO82" s="414"/>
      <c r="AP82" s="413"/>
      <c r="AQ82" s="413"/>
      <c r="AR82" s="413"/>
      <c r="AS82" s="413"/>
      <c r="AT82" s="413"/>
      <c r="AU82" s="413"/>
      <c r="AV82" s="413"/>
      <c r="AW82" s="413"/>
      <c r="AX82" s="413"/>
      <c r="AY82" s="414"/>
      <c r="AZ82" s="413"/>
      <c r="BA82" s="413"/>
      <c r="BB82" s="413"/>
      <c r="BC82" s="413"/>
      <c r="BD82" s="413"/>
      <c r="BE82" s="413"/>
      <c r="BF82" s="413"/>
      <c r="BG82" s="413"/>
      <c r="BH82" s="413"/>
      <c r="BI82" s="414"/>
      <c r="BJ82" s="413"/>
      <c r="BK82" s="413"/>
      <c r="BL82" s="413"/>
      <c r="BM82" s="413"/>
      <c r="BN82" s="413"/>
      <c r="BO82" s="413"/>
      <c r="BP82" s="413"/>
      <c r="BQ82" s="413"/>
      <c r="BR82" s="413"/>
      <c r="BS82" s="413"/>
      <c r="BT82" s="413"/>
      <c r="BU82" s="413"/>
      <c r="BV82" s="413"/>
      <c r="BW82" s="413"/>
      <c r="BX82" s="413"/>
      <c r="BY82" s="413"/>
      <c r="BZ82" s="413"/>
      <c r="CA82" s="413"/>
      <c r="CB82" s="413"/>
      <c r="CC82" s="413"/>
      <c r="CD82" s="413"/>
      <c r="CE82" s="413"/>
      <c r="CF82" s="413"/>
      <c r="CG82" s="413"/>
      <c r="CH82" s="413"/>
      <c r="CI82" s="413"/>
      <c r="CJ82" s="413"/>
      <c r="CK82" s="413"/>
      <c r="CL82" s="413"/>
      <c r="CM82" s="414"/>
      <c r="CN82" s="413"/>
      <c r="CO82" s="413"/>
      <c r="CP82" s="413"/>
      <c r="CQ82" s="413"/>
      <c r="CR82" s="413"/>
      <c r="CS82" s="413"/>
      <c r="CT82" s="413"/>
      <c r="CU82" s="413"/>
      <c r="CV82" s="413"/>
      <c r="CW82" s="414"/>
      <c r="CX82" s="413"/>
      <c r="CY82" s="413"/>
      <c r="CZ82" s="413"/>
      <c r="DA82" s="413"/>
      <c r="DB82" s="413"/>
      <c r="DC82" s="413"/>
      <c r="DD82" s="413"/>
      <c r="DE82" s="413"/>
      <c r="DF82" s="413"/>
      <c r="DG82" s="414"/>
      <c r="DH82" s="413"/>
      <c r="DI82" s="413"/>
      <c r="DJ82" s="413"/>
      <c r="DK82" s="413"/>
      <c r="DL82" s="413"/>
      <c r="DM82" s="413"/>
      <c r="DN82" s="413"/>
      <c r="DO82" s="413"/>
      <c r="DP82" s="413"/>
      <c r="DQ82" s="414"/>
      <c r="DR82" s="413"/>
      <c r="DS82" s="413"/>
      <c r="DT82" s="413"/>
      <c r="DU82" s="413"/>
      <c r="DV82" s="413"/>
      <c r="DW82" s="413"/>
      <c r="DX82" s="413"/>
      <c r="DY82" s="413"/>
      <c r="DZ82" s="413"/>
      <c r="EA82" s="413"/>
      <c r="EB82" s="413"/>
      <c r="EC82" s="413"/>
      <c r="ED82" s="413"/>
      <c r="EE82" s="413"/>
      <c r="EF82" s="413"/>
      <c r="EG82" s="413"/>
      <c r="EH82" s="413"/>
      <c r="EI82" s="413"/>
      <c r="EJ82" s="413"/>
      <c r="EK82" s="413"/>
      <c r="EL82" s="413"/>
      <c r="EM82" s="452"/>
      <c r="EN82" s="413"/>
      <c r="EO82" s="453"/>
      <c r="EP82" s="413"/>
      <c r="EQ82" s="434"/>
      <c r="ER82" s="434"/>
      <c r="ES82" s="434"/>
      <c r="ET82" s="434"/>
      <c r="EU82" s="434"/>
      <c r="EV82" s="434"/>
      <c r="EW82" s="434"/>
      <c r="EX82" s="434"/>
      <c r="EY82" s="434"/>
      <c r="EZ82" s="434"/>
      <c r="FA82" s="434"/>
      <c r="FB82" s="434"/>
      <c r="FC82" s="399"/>
      <c r="FD82" s="399"/>
      <c r="FE82" s="399"/>
      <c r="FF82" s="399"/>
      <c r="FG82" s="415"/>
      <c r="FH82" s="415"/>
      <c r="FI82" s="415"/>
      <c r="FJ82" s="415"/>
      <c r="FK82" s="415"/>
      <c r="FL82" s="415"/>
      <c r="FM82" s="415"/>
    </row>
    <row r="83" spans="1:169" hidden="1">
      <c r="A83" s="410" t="s">
        <v>1350</v>
      </c>
      <c r="B83" s="465"/>
      <c r="C83" s="412"/>
      <c r="D83" s="412"/>
      <c r="E83" s="412"/>
      <c r="F83" s="412"/>
      <c r="G83" s="412"/>
      <c r="H83" s="412"/>
      <c r="I83" s="412"/>
      <c r="J83" s="412"/>
      <c r="K83" s="412"/>
      <c r="L83" s="412"/>
      <c r="M83" s="413"/>
      <c r="N83" s="413"/>
      <c r="O83" s="413"/>
      <c r="P83" s="413"/>
      <c r="Q83" s="413"/>
      <c r="R83" s="413"/>
      <c r="S83" s="413"/>
      <c r="T83" s="413"/>
      <c r="U83" s="413"/>
      <c r="V83" s="413"/>
      <c r="W83" s="413"/>
      <c r="X83" s="413"/>
      <c r="Y83" s="413"/>
      <c r="Z83" s="413"/>
      <c r="AA83" s="413"/>
      <c r="AB83" s="413"/>
      <c r="AC83" s="413"/>
      <c r="AD83" s="413"/>
      <c r="AE83" s="413"/>
      <c r="AF83" s="413"/>
      <c r="AG83" s="413"/>
      <c r="AH83" s="413"/>
      <c r="AI83" s="413"/>
      <c r="AJ83" s="413"/>
      <c r="AK83" s="413"/>
      <c r="AL83" s="413"/>
      <c r="AM83" s="413"/>
      <c r="AN83" s="413"/>
      <c r="AO83" s="414"/>
      <c r="AP83" s="413"/>
      <c r="AQ83" s="413"/>
      <c r="AR83" s="413"/>
      <c r="AS83" s="413"/>
      <c r="AT83" s="413"/>
      <c r="AU83" s="413"/>
      <c r="AV83" s="413"/>
      <c r="AW83" s="413"/>
      <c r="AX83" s="413"/>
      <c r="AY83" s="414"/>
      <c r="AZ83" s="413"/>
      <c r="BA83" s="413"/>
      <c r="BB83" s="413"/>
      <c r="BC83" s="413"/>
      <c r="BD83" s="413"/>
      <c r="BE83" s="413"/>
      <c r="BF83" s="413"/>
      <c r="BG83" s="413"/>
      <c r="BH83" s="413"/>
      <c r="BI83" s="414"/>
      <c r="BJ83" s="413"/>
      <c r="BK83" s="413"/>
      <c r="BL83" s="413"/>
      <c r="BM83" s="413"/>
      <c r="BN83" s="413"/>
      <c r="BO83" s="413"/>
      <c r="BP83" s="413"/>
      <c r="BQ83" s="413"/>
      <c r="BR83" s="413"/>
      <c r="BS83" s="413"/>
      <c r="BT83" s="413"/>
      <c r="BU83" s="413"/>
      <c r="BV83" s="413"/>
      <c r="BW83" s="413"/>
      <c r="BX83" s="413"/>
      <c r="BY83" s="413"/>
      <c r="BZ83" s="413"/>
      <c r="CA83" s="413"/>
      <c r="CB83" s="413"/>
      <c r="CC83" s="413"/>
      <c r="CD83" s="413"/>
      <c r="CE83" s="413"/>
      <c r="CF83" s="413"/>
      <c r="CG83" s="413"/>
      <c r="CH83" s="413"/>
      <c r="CI83" s="413"/>
      <c r="CJ83" s="413"/>
      <c r="CK83" s="413"/>
      <c r="CL83" s="413"/>
      <c r="CM83" s="414"/>
      <c r="CN83" s="413"/>
      <c r="CO83" s="413"/>
      <c r="CP83" s="413"/>
      <c r="CQ83" s="413"/>
      <c r="CR83" s="413"/>
      <c r="CS83" s="413"/>
      <c r="CT83" s="413"/>
      <c r="CU83" s="413"/>
      <c r="CV83" s="413"/>
      <c r="CW83" s="414"/>
      <c r="CX83" s="413"/>
      <c r="CY83" s="413"/>
      <c r="CZ83" s="413"/>
      <c r="DA83" s="413"/>
      <c r="DB83" s="413"/>
      <c r="DC83" s="413"/>
      <c r="DD83" s="413"/>
      <c r="DE83" s="413"/>
      <c r="DF83" s="413"/>
      <c r="DG83" s="414"/>
      <c r="DH83" s="413"/>
      <c r="DI83" s="413"/>
      <c r="DJ83" s="413"/>
      <c r="DK83" s="413"/>
      <c r="DL83" s="413"/>
      <c r="DM83" s="413"/>
      <c r="DN83" s="413"/>
      <c r="DO83" s="413"/>
      <c r="DP83" s="413"/>
      <c r="DQ83" s="414"/>
      <c r="DR83" s="413"/>
      <c r="DS83" s="413"/>
      <c r="DT83" s="413"/>
      <c r="DU83" s="413"/>
      <c r="DV83" s="413"/>
      <c r="DW83" s="413"/>
      <c r="DX83" s="413"/>
      <c r="DY83" s="413"/>
      <c r="DZ83" s="413"/>
      <c r="EA83" s="413"/>
      <c r="EB83" s="413"/>
      <c r="EC83" s="413"/>
      <c r="ED83" s="413"/>
      <c r="EE83" s="413"/>
      <c r="EF83" s="413"/>
      <c r="EG83" s="413"/>
      <c r="EH83" s="413"/>
      <c r="EI83" s="413"/>
      <c r="EJ83" s="413"/>
      <c r="EK83" s="413"/>
      <c r="EL83" s="413"/>
      <c r="EM83" s="452"/>
      <c r="EN83" s="413"/>
      <c r="EO83" s="453"/>
      <c r="EP83" s="413"/>
      <c r="EQ83" s="434"/>
      <c r="ER83" s="434"/>
      <c r="ES83" s="434"/>
      <c r="ET83" s="434"/>
      <c r="EU83" s="434"/>
      <c r="EV83" s="434"/>
      <c r="EW83" s="434"/>
      <c r="EX83" s="434"/>
      <c r="EY83" s="434"/>
      <c r="EZ83" s="434"/>
      <c r="FA83" s="434"/>
      <c r="FB83" s="434"/>
      <c r="FC83" s="399"/>
      <c r="FD83" s="399"/>
      <c r="FE83" s="399"/>
      <c r="FF83" s="399"/>
      <c r="FG83" s="415"/>
      <c r="FH83" s="415"/>
      <c r="FI83" s="415"/>
      <c r="FJ83" s="415"/>
      <c r="FK83" s="415"/>
      <c r="FL83" s="415"/>
      <c r="FM83" s="415"/>
    </row>
    <row r="84" spans="1:169" hidden="1">
      <c r="A84" s="410"/>
      <c r="B84" s="465" t="s">
        <v>672</v>
      </c>
      <c r="C84" s="412"/>
      <c r="D84" s="412"/>
      <c r="E84" s="412"/>
      <c r="F84" s="412"/>
      <c r="G84" s="412"/>
      <c r="H84" s="412"/>
      <c r="I84" s="412"/>
      <c r="J84" s="412"/>
      <c r="K84" s="412"/>
      <c r="L84" s="412"/>
      <c r="M84" s="413"/>
      <c r="N84" s="413"/>
      <c r="O84" s="413"/>
      <c r="P84" s="413"/>
      <c r="Q84" s="413"/>
      <c r="R84" s="413"/>
      <c r="S84" s="413"/>
      <c r="T84" s="413"/>
      <c r="U84" s="413"/>
      <c r="V84" s="413"/>
      <c r="W84" s="413"/>
      <c r="X84" s="413"/>
      <c r="Y84" s="413"/>
      <c r="Z84" s="413"/>
      <c r="AA84" s="413"/>
      <c r="AB84" s="413"/>
      <c r="AC84" s="413"/>
      <c r="AD84" s="413"/>
      <c r="AE84" s="413"/>
      <c r="AF84" s="413"/>
      <c r="AG84" s="413"/>
      <c r="AH84" s="413"/>
      <c r="AI84" s="413"/>
      <c r="AJ84" s="413"/>
      <c r="AK84" s="413"/>
      <c r="AL84" s="413"/>
      <c r="AM84" s="413"/>
      <c r="AN84" s="413"/>
      <c r="AO84" s="414"/>
      <c r="AP84" s="413"/>
      <c r="AQ84" s="413"/>
      <c r="AR84" s="413"/>
      <c r="AS84" s="413"/>
      <c r="AT84" s="413"/>
      <c r="AU84" s="413"/>
      <c r="AV84" s="413"/>
      <c r="AW84" s="413"/>
      <c r="AX84" s="413"/>
      <c r="AY84" s="414"/>
      <c r="AZ84" s="413"/>
      <c r="BA84" s="413"/>
      <c r="BB84" s="413"/>
      <c r="BC84" s="413"/>
      <c r="BD84" s="413"/>
      <c r="BE84" s="413"/>
      <c r="BF84" s="413"/>
      <c r="BG84" s="413"/>
      <c r="BH84" s="413"/>
      <c r="BI84" s="414"/>
      <c r="BJ84" s="413"/>
      <c r="BK84" s="413"/>
      <c r="BL84" s="413"/>
      <c r="BM84" s="413"/>
      <c r="BN84" s="413"/>
      <c r="BO84" s="413"/>
      <c r="BP84" s="413"/>
      <c r="BQ84" s="413"/>
      <c r="BR84" s="413"/>
      <c r="BS84" s="413"/>
      <c r="BT84" s="413"/>
      <c r="BU84" s="413"/>
      <c r="BV84" s="413"/>
      <c r="BW84" s="413"/>
      <c r="BX84" s="413"/>
      <c r="BY84" s="413"/>
      <c r="BZ84" s="413"/>
      <c r="CA84" s="413"/>
      <c r="CB84" s="413"/>
      <c r="CC84" s="413"/>
      <c r="CD84" s="413"/>
      <c r="CE84" s="413"/>
      <c r="CF84" s="413"/>
      <c r="CG84" s="413"/>
      <c r="CH84" s="413"/>
      <c r="CI84" s="413"/>
      <c r="CJ84" s="413"/>
      <c r="CK84" s="413"/>
      <c r="CL84" s="413"/>
      <c r="CM84" s="414"/>
      <c r="CN84" s="413"/>
      <c r="CO84" s="413"/>
      <c r="CP84" s="413"/>
      <c r="CQ84" s="413"/>
      <c r="CR84" s="413"/>
      <c r="CS84" s="413"/>
      <c r="CT84" s="413"/>
      <c r="CU84" s="413"/>
      <c r="CV84" s="413"/>
      <c r="CW84" s="414"/>
      <c r="CX84" s="413"/>
      <c r="CY84" s="413"/>
      <c r="CZ84" s="413"/>
      <c r="DA84" s="413"/>
      <c r="DB84" s="413"/>
      <c r="DC84" s="413"/>
      <c r="DD84" s="413"/>
      <c r="DE84" s="413"/>
      <c r="DF84" s="413"/>
      <c r="DG84" s="414"/>
      <c r="DH84" s="413"/>
      <c r="DI84" s="413"/>
      <c r="DJ84" s="413"/>
      <c r="DK84" s="413"/>
      <c r="DL84" s="413"/>
      <c r="DM84" s="413"/>
      <c r="DN84" s="413"/>
      <c r="DO84" s="413"/>
      <c r="DP84" s="413"/>
      <c r="DQ84" s="414"/>
      <c r="DR84" s="413"/>
      <c r="DS84" s="413"/>
      <c r="DT84" s="413"/>
      <c r="DU84" s="413"/>
      <c r="DV84" s="413"/>
      <c r="DW84" s="413"/>
      <c r="DX84" s="413"/>
      <c r="DY84" s="413"/>
      <c r="DZ84" s="413"/>
      <c r="EA84" s="413"/>
      <c r="EB84" s="413"/>
      <c r="EC84" s="413"/>
      <c r="ED84" s="413"/>
      <c r="EE84" s="413"/>
      <c r="EF84" s="413"/>
      <c r="EG84" s="413"/>
      <c r="EH84" s="413"/>
      <c r="EI84" s="413"/>
      <c r="EJ84" s="413"/>
      <c r="EK84" s="413"/>
      <c r="EL84" s="413"/>
      <c r="EM84" s="452"/>
      <c r="EN84" s="413"/>
      <c r="EO84" s="453"/>
      <c r="EP84" s="413"/>
      <c r="EQ84" s="434"/>
      <c r="ER84" s="434"/>
      <c r="ES84" s="434"/>
      <c r="ET84" s="434"/>
      <c r="EU84" s="434"/>
      <c r="EV84" s="434"/>
      <c r="EW84" s="434"/>
      <c r="EX84" s="434"/>
      <c r="EY84" s="434"/>
      <c r="EZ84" s="434"/>
      <c r="FA84" s="434"/>
      <c r="FB84" s="434"/>
      <c r="FC84" s="399"/>
      <c r="FD84" s="399"/>
      <c r="FE84" s="399"/>
      <c r="FF84" s="399"/>
      <c r="FG84" s="415"/>
      <c r="FH84" s="415"/>
      <c r="FI84" s="415"/>
      <c r="FJ84" s="415"/>
      <c r="FK84" s="415"/>
      <c r="FL84" s="415"/>
      <c r="FM84" s="415"/>
    </row>
    <row r="85" spans="1:169" hidden="1">
      <c r="A85" s="410"/>
      <c r="B85" s="57" t="s">
        <v>153</v>
      </c>
      <c r="C85" s="412"/>
      <c r="D85" s="412"/>
      <c r="E85" s="412"/>
      <c r="F85" s="412"/>
      <c r="G85" s="412"/>
      <c r="H85" s="412"/>
      <c r="I85" s="412"/>
      <c r="J85" s="412"/>
      <c r="K85" s="412"/>
      <c r="L85" s="412"/>
      <c r="M85" s="413"/>
      <c r="N85" s="413"/>
      <c r="O85" s="413"/>
      <c r="P85" s="413"/>
      <c r="Q85" s="413"/>
      <c r="R85" s="413"/>
      <c r="S85" s="413"/>
      <c r="T85" s="413"/>
      <c r="U85" s="413"/>
      <c r="V85" s="413"/>
      <c r="W85" s="413"/>
      <c r="X85" s="413"/>
      <c r="Y85" s="413"/>
      <c r="Z85" s="413"/>
      <c r="AA85" s="413"/>
      <c r="AB85" s="413"/>
      <c r="AC85" s="413"/>
      <c r="AD85" s="413"/>
      <c r="AE85" s="413"/>
      <c r="AF85" s="413"/>
      <c r="AG85" s="413"/>
      <c r="AH85" s="413"/>
      <c r="AI85" s="413"/>
      <c r="AJ85" s="413"/>
      <c r="AK85" s="413"/>
      <c r="AL85" s="413"/>
      <c r="AM85" s="413"/>
      <c r="AN85" s="413"/>
      <c r="AO85" s="414"/>
      <c r="AP85" s="413"/>
      <c r="AQ85" s="413"/>
      <c r="AR85" s="413"/>
      <c r="AS85" s="413"/>
      <c r="AT85" s="413"/>
      <c r="AU85" s="413"/>
      <c r="AV85" s="413"/>
      <c r="AW85" s="413"/>
      <c r="AX85" s="413"/>
      <c r="AY85" s="414"/>
      <c r="AZ85" s="413"/>
      <c r="BA85" s="413"/>
      <c r="BB85" s="413"/>
      <c r="BC85" s="413"/>
      <c r="BD85" s="413"/>
      <c r="BE85" s="413"/>
      <c r="BF85" s="413"/>
      <c r="BG85" s="413"/>
      <c r="BH85" s="413"/>
      <c r="BI85" s="414"/>
      <c r="BJ85" s="413"/>
      <c r="BK85" s="413"/>
      <c r="BL85" s="413"/>
      <c r="BM85" s="413"/>
      <c r="BN85" s="413"/>
      <c r="BO85" s="413"/>
      <c r="BP85" s="413"/>
      <c r="BQ85" s="413"/>
      <c r="BR85" s="413"/>
      <c r="BS85" s="413"/>
      <c r="BT85" s="413"/>
      <c r="BU85" s="413"/>
      <c r="BV85" s="413"/>
      <c r="BW85" s="413"/>
      <c r="BX85" s="413"/>
      <c r="BY85" s="413"/>
      <c r="BZ85" s="413"/>
      <c r="CA85" s="413"/>
      <c r="CB85" s="413"/>
      <c r="CC85" s="413"/>
      <c r="CD85" s="413"/>
      <c r="CE85" s="413"/>
      <c r="CF85" s="413"/>
      <c r="CG85" s="413"/>
      <c r="CH85" s="413"/>
      <c r="CI85" s="413"/>
      <c r="CJ85" s="413"/>
      <c r="CK85" s="413"/>
      <c r="CL85" s="413"/>
      <c r="CM85" s="414"/>
      <c r="CN85" s="413"/>
      <c r="CO85" s="413"/>
      <c r="CP85" s="413"/>
      <c r="CQ85" s="413"/>
      <c r="CR85" s="413"/>
      <c r="CS85" s="413"/>
      <c r="CT85" s="413"/>
      <c r="CU85" s="413"/>
      <c r="CV85" s="413"/>
      <c r="CW85" s="414"/>
      <c r="CX85" s="413"/>
      <c r="CY85" s="413"/>
      <c r="CZ85" s="413"/>
      <c r="DA85" s="413"/>
      <c r="DB85" s="413"/>
      <c r="DC85" s="413"/>
      <c r="DD85" s="413"/>
      <c r="DE85" s="413"/>
      <c r="DF85" s="413"/>
      <c r="DG85" s="414"/>
      <c r="DH85" s="413"/>
      <c r="DI85" s="413"/>
      <c r="DJ85" s="413"/>
      <c r="DK85" s="413"/>
      <c r="DL85" s="413"/>
      <c r="DM85" s="413"/>
      <c r="DN85" s="413"/>
      <c r="DO85" s="413"/>
      <c r="DP85" s="413"/>
      <c r="DQ85" s="414"/>
      <c r="DR85" s="413"/>
      <c r="DS85" s="413"/>
      <c r="DT85" s="413"/>
      <c r="DU85" s="413"/>
      <c r="DV85" s="413"/>
      <c r="DW85" s="413"/>
      <c r="DX85" s="413"/>
      <c r="DY85" s="413"/>
      <c r="DZ85" s="413"/>
      <c r="EA85" s="413"/>
      <c r="EB85" s="413"/>
      <c r="EC85" s="413"/>
      <c r="ED85" s="413"/>
      <c r="EE85" s="413"/>
      <c r="EF85" s="413"/>
      <c r="EG85" s="413"/>
      <c r="EH85" s="413"/>
      <c r="EI85" s="413"/>
      <c r="EJ85" s="413"/>
      <c r="EK85" s="413"/>
      <c r="EL85" s="413"/>
      <c r="EM85" s="452"/>
      <c r="EN85" s="413"/>
      <c r="EO85" s="453"/>
      <c r="EP85" s="413"/>
      <c r="EQ85" s="434"/>
      <c r="ER85" s="434"/>
      <c r="ES85" s="434"/>
      <c r="ET85" s="434"/>
      <c r="EU85" s="434"/>
      <c r="EV85" s="434"/>
      <c r="EW85" s="434"/>
      <c r="EX85" s="434"/>
      <c r="EY85" s="434"/>
      <c r="EZ85" s="434"/>
      <c r="FA85" s="434"/>
      <c r="FB85" s="434"/>
      <c r="FC85" s="399"/>
      <c r="FD85" s="399"/>
      <c r="FE85" s="399"/>
      <c r="FF85" s="399"/>
      <c r="FG85" s="415"/>
      <c r="FH85" s="415"/>
      <c r="FI85" s="415"/>
      <c r="FJ85" s="415"/>
      <c r="FK85" s="415"/>
      <c r="FL85" s="415"/>
      <c r="FM85" s="415"/>
    </row>
    <row r="86" spans="1:169" hidden="1">
      <c r="A86" s="410"/>
      <c r="B86" s="57"/>
      <c r="C86" s="412"/>
      <c r="D86" s="412"/>
      <c r="E86" s="412"/>
      <c r="F86" s="412"/>
      <c r="G86" s="412"/>
      <c r="H86" s="412"/>
      <c r="I86" s="412"/>
      <c r="J86" s="412"/>
      <c r="K86" s="412"/>
      <c r="L86" s="412"/>
      <c r="M86" s="413"/>
      <c r="N86" s="413"/>
      <c r="O86" s="413"/>
      <c r="P86" s="413"/>
      <c r="Q86" s="413"/>
      <c r="R86" s="413"/>
      <c r="S86" s="413"/>
      <c r="T86" s="413"/>
      <c r="U86" s="413"/>
      <c r="V86" s="413"/>
      <c r="W86" s="413"/>
      <c r="X86" s="413"/>
      <c r="Y86" s="413"/>
      <c r="Z86" s="413"/>
      <c r="AA86" s="413"/>
      <c r="AB86" s="413"/>
      <c r="AC86" s="413"/>
      <c r="AD86" s="413"/>
      <c r="AE86" s="413"/>
      <c r="AF86" s="413"/>
      <c r="AG86" s="413"/>
      <c r="AH86" s="413"/>
      <c r="AI86" s="413"/>
      <c r="AJ86" s="413"/>
      <c r="AK86" s="413"/>
      <c r="AL86" s="413"/>
      <c r="AM86" s="413"/>
      <c r="AN86" s="413"/>
      <c r="AO86" s="414"/>
      <c r="AP86" s="413"/>
      <c r="AQ86" s="413"/>
      <c r="AR86" s="413"/>
      <c r="AS86" s="413"/>
      <c r="AT86" s="413"/>
      <c r="AU86" s="413"/>
      <c r="AV86" s="413"/>
      <c r="AW86" s="413"/>
      <c r="AX86" s="413"/>
      <c r="AY86" s="414"/>
      <c r="AZ86" s="413"/>
      <c r="BA86" s="413"/>
      <c r="BB86" s="413"/>
      <c r="BC86" s="413"/>
      <c r="BD86" s="413"/>
      <c r="BE86" s="413"/>
      <c r="BF86" s="413"/>
      <c r="BG86" s="413"/>
      <c r="BH86" s="413"/>
      <c r="BI86" s="414"/>
      <c r="BJ86" s="413"/>
      <c r="BK86" s="413"/>
      <c r="BL86" s="413"/>
      <c r="BM86" s="413"/>
      <c r="BN86" s="413"/>
      <c r="BO86" s="413"/>
      <c r="BP86" s="413"/>
      <c r="BQ86" s="413"/>
      <c r="BR86" s="413"/>
      <c r="BS86" s="413"/>
      <c r="BT86" s="413"/>
      <c r="BU86" s="413"/>
      <c r="BV86" s="413"/>
      <c r="BW86" s="413"/>
      <c r="BX86" s="413"/>
      <c r="BY86" s="413"/>
      <c r="BZ86" s="413"/>
      <c r="CA86" s="413"/>
      <c r="CB86" s="413"/>
      <c r="CC86" s="413"/>
      <c r="CD86" s="413"/>
      <c r="CE86" s="413"/>
      <c r="CF86" s="413"/>
      <c r="CG86" s="413"/>
      <c r="CH86" s="413"/>
      <c r="CI86" s="413"/>
      <c r="CJ86" s="413"/>
      <c r="CK86" s="413"/>
      <c r="CL86" s="413"/>
      <c r="CM86" s="414"/>
      <c r="CN86" s="413"/>
      <c r="CO86" s="413"/>
      <c r="CP86" s="413"/>
      <c r="CQ86" s="413"/>
      <c r="CR86" s="413"/>
      <c r="CS86" s="413"/>
      <c r="CT86" s="413"/>
      <c r="CU86" s="413"/>
      <c r="CV86" s="413"/>
      <c r="CW86" s="414"/>
      <c r="CX86" s="413"/>
      <c r="CY86" s="413"/>
      <c r="CZ86" s="413"/>
      <c r="DA86" s="413"/>
      <c r="DB86" s="413"/>
      <c r="DC86" s="413"/>
      <c r="DD86" s="413"/>
      <c r="DE86" s="413"/>
      <c r="DF86" s="413"/>
      <c r="DG86" s="414"/>
      <c r="DH86" s="413"/>
      <c r="DI86" s="413"/>
      <c r="DJ86" s="413"/>
      <c r="DK86" s="413"/>
      <c r="DL86" s="413"/>
      <c r="DM86" s="413"/>
      <c r="DN86" s="413"/>
      <c r="DO86" s="413"/>
      <c r="DP86" s="413"/>
      <c r="DQ86" s="414"/>
      <c r="DR86" s="413"/>
      <c r="DS86" s="413"/>
      <c r="DT86" s="413"/>
      <c r="DU86" s="413"/>
      <c r="DV86" s="413"/>
      <c r="DW86" s="413"/>
      <c r="DX86" s="413"/>
      <c r="DY86" s="413"/>
      <c r="DZ86" s="413"/>
      <c r="EA86" s="413"/>
      <c r="EB86" s="413"/>
      <c r="EC86" s="413"/>
      <c r="ED86" s="413"/>
      <c r="EE86" s="413"/>
      <c r="EF86" s="413"/>
      <c r="EG86" s="413"/>
      <c r="EH86" s="413"/>
      <c r="EI86" s="413"/>
      <c r="EJ86" s="413"/>
      <c r="EK86" s="413"/>
      <c r="EL86" s="413"/>
      <c r="EM86" s="452"/>
      <c r="EN86" s="413"/>
      <c r="EO86" s="453"/>
      <c r="EP86" s="413"/>
      <c r="EQ86" s="434"/>
      <c r="ER86" s="434"/>
      <c r="ES86" s="434"/>
      <c r="ET86" s="434"/>
      <c r="EU86" s="434"/>
      <c r="EV86" s="434"/>
      <c r="EW86" s="434"/>
      <c r="EX86" s="434"/>
      <c r="EY86" s="434"/>
      <c r="EZ86" s="434"/>
      <c r="FA86" s="434"/>
      <c r="FB86" s="434"/>
      <c r="FC86" s="399"/>
      <c r="FD86" s="399"/>
      <c r="FE86" s="399"/>
      <c r="FF86" s="399"/>
      <c r="FG86" s="415"/>
      <c r="FH86" s="415"/>
      <c r="FI86" s="415"/>
      <c r="FJ86" s="415"/>
      <c r="FK86" s="415"/>
      <c r="FL86" s="415"/>
      <c r="FM86" s="415"/>
    </row>
    <row r="87" spans="1:169" hidden="1">
      <c r="A87" s="410"/>
      <c r="B87" s="57" t="s">
        <v>1371</v>
      </c>
      <c r="C87" s="412"/>
      <c r="D87" s="412"/>
      <c r="E87" s="412"/>
      <c r="F87" s="412"/>
      <c r="G87" s="412"/>
      <c r="H87" s="412"/>
      <c r="I87" s="412"/>
      <c r="J87" s="412"/>
      <c r="K87" s="412"/>
      <c r="L87" s="412"/>
      <c r="M87" s="413"/>
      <c r="N87" s="413"/>
      <c r="O87" s="413"/>
      <c r="P87" s="413"/>
      <c r="Q87" s="413"/>
      <c r="R87" s="413"/>
      <c r="S87" s="413"/>
      <c r="T87" s="413"/>
      <c r="U87" s="413"/>
      <c r="V87" s="413"/>
      <c r="W87" s="413"/>
      <c r="X87" s="413"/>
      <c r="Y87" s="413"/>
      <c r="Z87" s="413"/>
      <c r="AA87" s="413"/>
      <c r="AB87" s="413"/>
      <c r="AC87" s="413"/>
      <c r="AD87" s="413"/>
      <c r="AE87" s="413"/>
      <c r="AF87" s="413"/>
      <c r="AG87" s="413"/>
      <c r="AH87" s="413"/>
      <c r="AI87" s="413"/>
      <c r="AJ87" s="413"/>
      <c r="AK87" s="413"/>
      <c r="AL87" s="413"/>
      <c r="AM87" s="413"/>
      <c r="AN87" s="413"/>
      <c r="AO87" s="414"/>
      <c r="AP87" s="413"/>
      <c r="AQ87" s="413"/>
      <c r="AR87" s="413"/>
      <c r="AS87" s="413"/>
      <c r="AT87" s="413"/>
      <c r="AU87" s="413"/>
      <c r="AV87" s="413"/>
      <c r="AW87" s="413"/>
      <c r="AX87" s="413"/>
      <c r="AY87" s="414"/>
      <c r="AZ87" s="413"/>
      <c r="BA87" s="413"/>
      <c r="BB87" s="413"/>
      <c r="BC87" s="413"/>
      <c r="BD87" s="413"/>
      <c r="BE87" s="413"/>
      <c r="BF87" s="413"/>
      <c r="BG87" s="413"/>
      <c r="BH87" s="413"/>
      <c r="BI87" s="414"/>
      <c r="BJ87" s="413"/>
      <c r="BK87" s="413"/>
      <c r="BL87" s="413"/>
      <c r="BM87" s="413"/>
      <c r="BN87" s="413"/>
      <c r="BO87" s="413"/>
      <c r="BP87" s="413"/>
      <c r="BQ87" s="413"/>
      <c r="BR87" s="413"/>
      <c r="BS87" s="413"/>
      <c r="BT87" s="413"/>
      <c r="BU87" s="413"/>
      <c r="BV87" s="413"/>
      <c r="BW87" s="413"/>
      <c r="BX87" s="413"/>
      <c r="BY87" s="413"/>
      <c r="BZ87" s="413"/>
      <c r="CA87" s="413"/>
      <c r="CB87" s="413"/>
      <c r="CC87" s="413"/>
      <c r="CD87" s="413"/>
      <c r="CE87" s="413"/>
      <c r="CF87" s="413"/>
      <c r="CG87" s="413"/>
      <c r="CH87" s="413"/>
      <c r="CI87" s="413"/>
      <c r="CJ87" s="413"/>
      <c r="CK87" s="413"/>
      <c r="CL87" s="413"/>
      <c r="CM87" s="414"/>
      <c r="CN87" s="413"/>
      <c r="CO87" s="413"/>
      <c r="CP87" s="413"/>
      <c r="CQ87" s="413"/>
      <c r="CR87" s="413"/>
      <c r="CS87" s="413"/>
      <c r="CT87" s="413"/>
      <c r="CU87" s="413"/>
      <c r="CV87" s="413"/>
      <c r="CW87" s="414"/>
      <c r="CX87" s="413"/>
      <c r="CY87" s="413"/>
      <c r="CZ87" s="413"/>
      <c r="DA87" s="413"/>
      <c r="DB87" s="413"/>
      <c r="DC87" s="413"/>
      <c r="DD87" s="413"/>
      <c r="DE87" s="413"/>
      <c r="DF87" s="413"/>
      <c r="DG87" s="414"/>
      <c r="DH87" s="413"/>
      <c r="DI87" s="413"/>
      <c r="DJ87" s="413"/>
      <c r="DK87" s="413"/>
      <c r="DL87" s="413"/>
      <c r="DM87" s="413"/>
      <c r="DN87" s="413"/>
      <c r="DO87" s="413"/>
      <c r="DP87" s="413"/>
      <c r="DQ87" s="414"/>
      <c r="DR87" s="413"/>
      <c r="DS87" s="413"/>
      <c r="DT87" s="413"/>
      <c r="DU87" s="413"/>
      <c r="DV87" s="413"/>
      <c r="DW87" s="413"/>
      <c r="DX87" s="413"/>
      <c r="DY87" s="413"/>
      <c r="DZ87" s="413"/>
      <c r="EA87" s="413"/>
      <c r="EB87" s="413"/>
      <c r="EC87" s="413"/>
      <c r="ED87" s="413"/>
      <c r="EE87" s="413"/>
      <c r="EF87" s="413"/>
      <c r="EG87" s="413"/>
      <c r="EH87" s="413"/>
      <c r="EI87" s="413"/>
      <c r="EJ87" s="413"/>
      <c r="EK87" s="413"/>
      <c r="EL87" s="413"/>
      <c r="EM87" s="452"/>
      <c r="EN87" s="413"/>
      <c r="EO87" s="453"/>
      <c r="EP87" s="413"/>
      <c r="EQ87" s="434"/>
      <c r="ER87" s="434"/>
      <c r="ES87" s="434"/>
      <c r="ET87" s="434"/>
      <c r="EU87" s="434"/>
      <c r="EV87" s="434"/>
      <c r="EW87" s="434"/>
      <c r="EX87" s="434"/>
      <c r="EY87" s="434"/>
      <c r="EZ87" s="434"/>
      <c r="FA87" s="434"/>
      <c r="FB87" s="434"/>
      <c r="FC87" s="399"/>
      <c r="FD87" s="399"/>
      <c r="FE87" s="399"/>
      <c r="FF87" s="399"/>
      <c r="FG87" s="415"/>
      <c r="FH87" s="415"/>
      <c r="FI87" s="415"/>
      <c r="FJ87" s="415"/>
      <c r="FK87" s="415"/>
      <c r="FL87" s="415"/>
      <c r="FM87" s="415"/>
    </row>
    <row r="88" spans="1:169" hidden="1">
      <c r="A88" s="410"/>
      <c r="B88" s="57"/>
      <c r="C88" s="412"/>
      <c r="D88" s="412"/>
      <c r="E88" s="412"/>
      <c r="F88" s="412"/>
      <c r="G88" s="412"/>
      <c r="H88" s="412"/>
      <c r="I88" s="412"/>
      <c r="J88" s="412"/>
      <c r="K88" s="412"/>
      <c r="L88" s="412"/>
      <c r="M88" s="413"/>
      <c r="N88" s="413"/>
      <c r="O88" s="413"/>
      <c r="P88" s="413"/>
      <c r="Q88" s="413"/>
      <c r="R88" s="413"/>
      <c r="S88" s="413"/>
      <c r="T88" s="413"/>
      <c r="U88" s="413"/>
      <c r="V88" s="413"/>
      <c r="W88" s="413"/>
      <c r="X88" s="413"/>
      <c r="Y88" s="413"/>
      <c r="Z88" s="413"/>
      <c r="AA88" s="413"/>
      <c r="AB88" s="413"/>
      <c r="AC88" s="413"/>
      <c r="AD88" s="413"/>
      <c r="AE88" s="413"/>
      <c r="AF88" s="413"/>
      <c r="AG88" s="413"/>
      <c r="AH88" s="413"/>
      <c r="AI88" s="413"/>
      <c r="AJ88" s="413"/>
      <c r="AK88" s="413"/>
      <c r="AL88" s="413"/>
      <c r="AM88" s="413"/>
      <c r="AN88" s="413"/>
      <c r="AO88" s="414"/>
      <c r="AP88" s="413"/>
      <c r="AQ88" s="413"/>
      <c r="AR88" s="413"/>
      <c r="AS88" s="413"/>
      <c r="AT88" s="413"/>
      <c r="AU88" s="413"/>
      <c r="AV88" s="413"/>
      <c r="AW88" s="413"/>
      <c r="AX88" s="413"/>
      <c r="AY88" s="414"/>
      <c r="AZ88" s="413"/>
      <c r="BA88" s="413"/>
      <c r="BB88" s="413"/>
      <c r="BC88" s="413"/>
      <c r="BD88" s="413"/>
      <c r="BE88" s="413"/>
      <c r="BF88" s="413"/>
      <c r="BG88" s="413"/>
      <c r="BH88" s="413"/>
      <c r="BI88" s="414"/>
      <c r="BJ88" s="413"/>
      <c r="BK88" s="413"/>
      <c r="BL88" s="413"/>
      <c r="BM88" s="413"/>
      <c r="BN88" s="413"/>
      <c r="BO88" s="413"/>
      <c r="BP88" s="413"/>
      <c r="BQ88" s="413"/>
      <c r="BR88" s="413"/>
      <c r="BS88" s="413"/>
      <c r="BT88" s="413"/>
      <c r="BU88" s="413"/>
      <c r="BV88" s="413"/>
      <c r="BW88" s="413"/>
      <c r="BX88" s="413"/>
      <c r="BY88" s="413"/>
      <c r="BZ88" s="413"/>
      <c r="CA88" s="413"/>
      <c r="CB88" s="413"/>
      <c r="CC88" s="413"/>
      <c r="CD88" s="413"/>
      <c r="CE88" s="413"/>
      <c r="CF88" s="413"/>
      <c r="CG88" s="413"/>
      <c r="CH88" s="413"/>
      <c r="CI88" s="413"/>
      <c r="CJ88" s="413"/>
      <c r="CK88" s="413"/>
      <c r="CL88" s="413"/>
      <c r="CM88" s="414"/>
      <c r="CN88" s="413"/>
      <c r="CO88" s="413"/>
      <c r="CP88" s="413"/>
      <c r="CQ88" s="413"/>
      <c r="CR88" s="413"/>
      <c r="CS88" s="413"/>
      <c r="CT88" s="413"/>
      <c r="CU88" s="413"/>
      <c r="CV88" s="413"/>
      <c r="CW88" s="414"/>
      <c r="CX88" s="413"/>
      <c r="CY88" s="413"/>
      <c r="CZ88" s="413"/>
      <c r="DA88" s="413"/>
      <c r="DB88" s="413"/>
      <c r="DC88" s="413"/>
      <c r="DD88" s="413"/>
      <c r="DE88" s="413"/>
      <c r="DF88" s="413"/>
      <c r="DG88" s="414"/>
      <c r="DH88" s="413"/>
      <c r="DI88" s="413"/>
      <c r="DJ88" s="413"/>
      <c r="DK88" s="413"/>
      <c r="DL88" s="413"/>
      <c r="DM88" s="413"/>
      <c r="DN88" s="413"/>
      <c r="DO88" s="413"/>
      <c r="DP88" s="413"/>
      <c r="DQ88" s="414"/>
      <c r="DR88" s="413"/>
      <c r="DS88" s="413"/>
      <c r="DT88" s="413"/>
      <c r="DU88" s="413"/>
      <c r="DV88" s="413"/>
      <c r="DW88" s="413"/>
      <c r="DX88" s="413"/>
      <c r="DY88" s="413"/>
      <c r="DZ88" s="413"/>
      <c r="EA88" s="413"/>
      <c r="EB88" s="413"/>
      <c r="EC88" s="413"/>
      <c r="ED88" s="413"/>
      <c r="EE88" s="413"/>
      <c r="EF88" s="413"/>
      <c r="EG88" s="413"/>
      <c r="EH88" s="413"/>
      <c r="EI88" s="413"/>
      <c r="EJ88" s="413"/>
      <c r="EK88" s="413"/>
      <c r="EL88" s="413"/>
      <c r="EM88" s="452"/>
      <c r="EN88" s="413"/>
      <c r="EO88" s="453"/>
      <c r="EP88" s="413"/>
      <c r="EQ88" s="434"/>
      <c r="ER88" s="434"/>
      <c r="ES88" s="434"/>
      <c r="ET88" s="434"/>
      <c r="EU88" s="434"/>
      <c r="EV88" s="434"/>
      <c r="EW88" s="434"/>
      <c r="EX88" s="434"/>
      <c r="EY88" s="434"/>
      <c r="EZ88" s="434"/>
      <c r="FA88" s="434"/>
      <c r="FB88" s="434"/>
      <c r="FC88" s="399"/>
      <c r="FD88" s="399"/>
      <c r="FE88" s="399"/>
      <c r="FF88" s="399"/>
      <c r="FG88" s="415"/>
      <c r="FH88" s="415"/>
      <c r="FI88" s="415"/>
      <c r="FJ88" s="415"/>
      <c r="FK88" s="415"/>
      <c r="FL88" s="415"/>
      <c r="FM88" s="415"/>
    </row>
    <row r="89" spans="1:169">
      <c r="A89" s="410" t="s">
        <v>33</v>
      </c>
      <c r="B89" s="406" t="s">
        <v>1228</v>
      </c>
      <c r="C89" s="412"/>
      <c r="D89" s="412"/>
      <c r="E89" s="412"/>
      <c r="F89" s="412"/>
      <c r="G89" s="412"/>
      <c r="H89" s="412"/>
      <c r="I89" s="412"/>
      <c r="J89" s="412"/>
      <c r="K89" s="412"/>
      <c r="L89" s="412"/>
      <c r="M89" s="413"/>
      <c r="N89" s="413"/>
      <c r="O89" s="413"/>
      <c r="P89" s="413"/>
      <c r="Q89" s="413"/>
      <c r="R89" s="413"/>
      <c r="S89" s="413"/>
      <c r="T89" s="413"/>
      <c r="U89" s="413"/>
      <c r="V89" s="413"/>
      <c r="W89" s="413"/>
      <c r="X89" s="413"/>
      <c r="Y89" s="413"/>
      <c r="Z89" s="413"/>
      <c r="AA89" s="413"/>
      <c r="AB89" s="413"/>
      <c r="AC89" s="413"/>
      <c r="AD89" s="413"/>
      <c r="AE89" s="413"/>
      <c r="AF89" s="413"/>
      <c r="AG89" s="413"/>
      <c r="AH89" s="413"/>
      <c r="AI89" s="413"/>
      <c r="AJ89" s="413"/>
      <c r="AK89" s="413"/>
      <c r="AL89" s="413"/>
      <c r="AM89" s="413"/>
      <c r="AN89" s="413"/>
      <c r="AO89" s="414"/>
      <c r="AP89" s="413"/>
      <c r="AQ89" s="413"/>
      <c r="AR89" s="413"/>
      <c r="AS89" s="413"/>
      <c r="AT89" s="413"/>
      <c r="AU89" s="413"/>
      <c r="AV89" s="413"/>
      <c r="AW89" s="413"/>
      <c r="AX89" s="413"/>
      <c r="AY89" s="414"/>
      <c r="AZ89" s="413"/>
      <c r="BA89" s="413"/>
      <c r="BB89" s="413"/>
      <c r="BC89" s="413"/>
      <c r="BD89" s="413"/>
      <c r="BE89" s="413"/>
      <c r="BF89" s="413"/>
      <c r="BG89" s="413"/>
      <c r="BH89" s="413"/>
      <c r="BI89" s="414"/>
      <c r="BJ89" s="413"/>
      <c r="BK89" s="413"/>
      <c r="BL89" s="413"/>
      <c r="BM89" s="413"/>
      <c r="BN89" s="413"/>
      <c r="BO89" s="413"/>
      <c r="BP89" s="413"/>
      <c r="BQ89" s="413"/>
      <c r="BR89" s="413"/>
      <c r="BS89" s="413"/>
      <c r="BT89" s="413"/>
      <c r="BU89" s="413"/>
      <c r="BV89" s="413"/>
      <c r="BW89" s="413"/>
      <c r="BX89" s="413"/>
      <c r="BY89" s="413"/>
      <c r="BZ89" s="413"/>
      <c r="CA89" s="413"/>
      <c r="CB89" s="413"/>
      <c r="CC89" s="413"/>
      <c r="CD89" s="413"/>
      <c r="CE89" s="413"/>
      <c r="CF89" s="413"/>
      <c r="CG89" s="413"/>
      <c r="CH89" s="413"/>
      <c r="CI89" s="413"/>
      <c r="CJ89" s="413"/>
      <c r="CK89" s="413"/>
      <c r="CL89" s="413"/>
      <c r="CM89" s="414"/>
      <c r="CN89" s="413"/>
      <c r="CO89" s="413"/>
      <c r="CP89" s="413"/>
      <c r="CQ89" s="413"/>
      <c r="CR89" s="413"/>
      <c r="CS89" s="413"/>
      <c r="CT89" s="413"/>
      <c r="CU89" s="413"/>
      <c r="CV89" s="413"/>
      <c r="CW89" s="414"/>
      <c r="CX89" s="413"/>
      <c r="CY89" s="413"/>
      <c r="CZ89" s="413"/>
      <c r="DA89" s="413"/>
      <c r="DB89" s="413"/>
      <c r="DC89" s="413"/>
      <c r="DD89" s="413"/>
      <c r="DE89" s="413"/>
      <c r="DF89" s="413"/>
      <c r="DG89" s="414"/>
      <c r="DH89" s="413"/>
      <c r="DI89" s="413"/>
      <c r="DJ89" s="413"/>
      <c r="DK89" s="413"/>
      <c r="DL89" s="413"/>
      <c r="DM89" s="413"/>
      <c r="DN89" s="413"/>
      <c r="DO89" s="413"/>
      <c r="DP89" s="413"/>
      <c r="DQ89" s="414"/>
      <c r="DR89" s="413"/>
      <c r="DS89" s="413"/>
      <c r="DT89" s="413"/>
      <c r="DU89" s="413"/>
      <c r="DV89" s="413"/>
      <c r="DW89" s="413"/>
      <c r="DX89" s="413"/>
      <c r="DY89" s="413"/>
      <c r="DZ89" s="413"/>
      <c r="EA89" s="413"/>
      <c r="EB89" s="413"/>
      <c r="EC89" s="413"/>
      <c r="ED89" s="413"/>
      <c r="EE89" s="413"/>
      <c r="EF89" s="413"/>
      <c r="EG89" s="413"/>
      <c r="EH89" s="413"/>
      <c r="EI89" s="413"/>
      <c r="EJ89" s="413"/>
      <c r="EK89" s="413"/>
      <c r="EL89" s="413"/>
      <c r="EM89" s="452"/>
      <c r="EN89" s="413"/>
      <c r="EO89" s="453"/>
      <c r="EP89" s="413"/>
      <c r="EQ89" s="434"/>
      <c r="ER89" s="434"/>
      <c r="ES89" s="434"/>
      <c r="ET89" s="434"/>
      <c r="EU89" s="434"/>
      <c r="EV89" s="434"/>
      <c r="EW89" s="434"/>
      <c r="EX89" s="434"/>
      <c r="EY89" s="434"/>
      <c r="EZ89" s="434"/>
      <c r="FA89" s="434"/>
      <c r="FB89" s="434"/>
      <c r="FC89" s="399"/>
      <c r="FD89" s="399"/>
      <c r="FE89" s="399"/>
      <c r="FF89" s="399"/>
      <c r="FG89" s="415"/>
      <c r="FH89" s="415"/>
      <c r="FI89" s="415"/>
      <c r="FJ89" s="415"/>
      <c r="FK89" s="415"/>
      <c r="FL89" s="415"/>
      <c r="FM89" s="415"/>
    </row>
    <row r="90" spans="1:169" hidden="1">
      <c r="A90" s="410"/>
      <c r="B90" s="411" t="s">
        <v>1198</v>
      </c>
      <c r="C90" s="412"/>
      <c r="D90" s="412"/>
      <c r="E90" s="412"/>
      <c r="F90" s="412"/>
      <c r="G90" s="412"/>
      <c r="H90" s="412"/>
      <c r="I90" s="412"/>
      <c r="J90" s="412"/>
      <c r="K90" s="412"/>
      <c r="L90" s="412"/>
      <c r="M90" s="413"/>
      <c r="N90" s="413"/>
      <c r="O90" s="413"/>
      <c r="P90" s="413"/>
      <c r="Q90" s="413"/>
      <c r="R90" s="413"/>
      <c r="S90" s="413"/>
      <c r="T90" s="413"/>
      <c r="U90" s="413"/>
      <c r="V90" s="413"/>
      <c r="W90" s="413"/>
      <c r="X90" s="413"/>
      <c r="Y90" s="413"/>
      <c r="Z90" s="413"/>
      <c r="AA90" s="413"/>
      <c r="AB90" s="413"/>
      <c r="AC90" s="413"/>
      <c r="AD90" s="413"/>
      <c r="AE90" s="413"/>
      <c r="AF90" s="413"/>
      <c r="AG90" s="413"/>
      <c r="AH90" s="413"/>
      <c r="AI90" s="413"/>
      <c r="AJ90" s="413"/>
      <c r="AK90" s="413"/>
      <c r="AL90" s="413"/>
      <c r="AM90" s="413"/>
      <c r="AN90" s="413"/>
      <c r="AO90" s="414"/>
      <c r="AP90" s="413"/>
      <c r="AQ90" s="413"/>
      <c r="AR90" s="413"/>
      <c r="AS90" s="413"/>
      <c r="AT90" s="413"/>
      <c r="AU90" s="413"/>
      <c r="AV90" s="413"/>
      <c r="AW90" s="413"/>
      <c r="AX90" s="413"/>
      <c r="AY90" s="414"/>
      <c r="AZ90" s="413"/>
      <c r="BA90" s="413"/>
      <c r="BB90" s="413"/>
      <c r="BC90" s="413"/>
      <c r="BD90" s="413"/>
      <c r="BE90" s="413"/>
      <c r="BF90" s="413"/>
      <c r="BG90" s="413"/>
      <c r="BH90" s="413"/>
      <c r="BI90" s="414"/>
      <c r="BJ90" s="413"/>
      <c r="BK90" s="413"/>
      <c r="BL90" s="413"/>
      <c r="BM90" s="413"/>
      <c r="BN90" s="413"/>
      <c r="BO90" s="413"/>
      <c r="BP90" s="413"/>
      <c r="BQ90" s="413"/>
      <c r="BR90" s="413"/>
      <c r="BS90" s="413"/>
      <c r="BT90" s="413"/>
      <c r="BU90" s="413"/>
      <c r="BV90" s="413"/>
      <c r="BW90" s="413"/>
      <c r="BX90" s="413"/>
      <c r="BY90" s="413"/>
      <c r="BZ90" s="413"/>
      <c r="CA90" s="413"/>
      <c r="CB90" s="413"/>
      <c r="CC90" s="413"/>
      <c r="CD90" s="413"/>
      <c r="CE90" s="413"/>
      <c r="CF90" s="413"/>
      <c r="CG90" s="413"/>
      <c r="CH90" s="413"/>
      <c r="CI90" s="413"/>
      <c r="CJ90" s="413"/>
      <c r="CK90" s="413"/>
      <c r="CL90" s="413"/>
      <c r="CM90" s="414"/>
      <c r="CN90" s="413"/>
      <c r="CO90" s="413"/>
      <c r="CP90" s="413"/>
      <c r="CQ90" s="413"/>
      <c r="CR90" s="413"/>
      <c r="CS90" s="413"/>
      <c r="CT90" s="413"/>
      <c r="CU90" s="413"/>
      <c r="CV90" s="413"/>
      <c r="CW90" s="414"/>
      <c r="CX90" s="413"/>
      <c r="CY90" s="413"/>
      <c r="CZ90" s="413"/>
      <c r="DA90" s="413"/>
      <c r="DB90" s="413"/>
      <c r="DC90" s="413"/>
      <c r="DD90" s="413"/>
      <c r="DE90" s="413"/>
      <c r="DF90" s="413"/>
      <c r="DG90" s="414"/>
      <c r="DH90" s="413"/>
      <c r="DI90" s="413"/>
      <c r="DJ90" s="413"/>
      <c r="DK90" s="413"/>
      <c r="DL90" s="413"/>
      <c r="DM90" s="413"/>
      <c r="DN90" s="413"/>
      <c r="DO90" s="413"/>
      <c r="DP90" s="413"/>
      <c r="DQ90" s="414"/>
      <c r="DR90" s="413"/>
      <c r="DS90" s="413"/>
      <c r="DT90" s="413"/>
      <c r="DU90" s="413"/>
      <c r="DV90" s="413"/>
      <c r="DW90" s="413"/>
      <c r="DX90" s="413"/>
      <c r="DY90" s="413"/>
      <c r="DZ90" s="413"/>
      <c r="EA90" s="413"/>
      <c r="EB90" s="413"/>
      <c r="EC90" s="413"/>
      <c r="ED90" s="413"/>
      <c r="EE90" s="413"/>
      <c r="EF90" s="413"/>
      <c r="EG90" s="413"/>
      <c r="EH90" s="413"/>
      <c r="EI90" s="413"/>
      <c r="EJ90" s="413"/>
      <c r="EK90" s="413"/>
      <c r="EL90" s="413"/>
      <c r="EM90" s="452"/>
      <c r="EN90" s="413"/>
      <c r="EO90" s="453"/>
      <c r="EP90" s="413"/>
      <c r="EQ90" s="434"/>
      <c r="ER90" s="434"/>
      <c r="ES90" s="434"/>
      <c r="ET90" s="434"/>
      <c r="EU90" s="434"/>
      <c r="EV90" s="434"/>
      <c r="EW90" s="434"/>
      <c r="EX90" s="434"/>
      <c r="EY90" s="434"/>
      <c r="EZ90" s="434"/>
      <c r="FA90" s="434"/>
      <c r="FB90" s="434"/>
      <c r="FC90" s="399"/>
      <c r="FD90" s="399"/>
      <c r="FE90" s="399"/>
      <c r="FF90" s="399"/>
      <c r="FG90" s="415"/>
      <c r="FH90" s="415"/>
      <c r="FI90" s="415"/>
      <c r="FJ90" s="415"/>
      <c r="FK90" s="415"/>
      <c r="FL90" s="415"/>
      <c r="FM90" s="415"/>
    </row>
    <row r="91" spans="1:169" hidden="1">
      <c r="A91" s="410"/>
      <c r="B91" s="416" t="s">
        <v>1199</v>
      </c>
      <c r="C91" s="412"/>
      <c r="D91" s="412"/>
      <c r="E91" s="412"/>
      <c r="F91" s="412"/>
      <c r="G91" s="412"/>
      <c r="H91" s="412"/>
      <c r="I91" s="412"/>
      <c r="J91" s="412"/>
      <c r="K91" s="412"/>
      <c r="L91" s="412"/>
      <c r="M91" s="413"/>
      <c r="N91" s="413"/>
      <c r="O91" s="413"/>
      <c r="P91" s="413"/>
      <c r="Q91" s="413"/>
      <c r="R91" s="413"/>
      <c r="S91" s="413"/>
      <c r="T91" s="413"/>
      <c r="U91" s="413"/>
      <c r="V91" s="413"/>
      <c r="W91" s="413"/>
      <c r="X91" s="413"/>
      <c r="Y91" s="413"/>
      <c r="Z91" s="413"/>
      <c r="AA91" s="413"/>
      <c r="AB91" s="413"/>
      <c r="AC91" s="413"/>
      <c r="AD91" s="413"/>
      <c r="AE91" s="413"/>
      <c r="AF91" s="413"/>
      <c r="AG91" s="413"/>
      <c r="AH91" s="413"/>
      <c r="AI91" s="413"/>
      <c r="AJ91" s="413"/>
      <c r="AK91" s="413"/>
      <c r="AL91" s="413"/>
      <c r="AM91" s="413"/>
      <c r="AN91" s="413"/>
      <c r="AO91" s="414"/>
      <c r="AP91" s="413"/>
      <c r="AQ91" s="413"/>
      <c r="AR91" s="413"/>
      <c r="AS91" s="413"/>
      <c r="AT91" s="413"/>
      <c r="AU91" s="413"/>
      <c r="AV91" s="413"/>
      <c r="AW91" s="413"/>
      <c r="AX91" s="413"/>
      <c r="AY91" s="414"/>
      <c r="AZ91" s="413"/>
      <c r="BA91" s="413"/>
      <c r="BB91" s="413"/>
      <c r="BC91" s="413"/>
      <c r="BD91" s="413"/>
      <c r="BE91" s="413"/>
      <c r="BF91" s="413"/>
      <c r="BG91" s="413"/>
      <c r="BH91" s="413"/>
      <c r="BI91" s="414"/>
      <c r="BJ91" s="413"/>
      <c r="BK91" s="413"/>
      <c r="BL91" s="413"/>
      <c r="BM91" s="413"/>
      <c r="BN91" s="413"/>
      <c r="BO91" s="413"/>
      <c r="BP91" s="413"/>
      <c r="BQ91" s="413"/>
      <c r="BR91" s="413"/>
      <c r="BS91" s="413"/>
      <c r="BT91" s="413"/>
      <c r="BU91" s="413"/>
      <c r="BV91" s="413"/>
      <c r="BW91" s="413"/>
      <c r="BX91" s="413"/>
      <c r="BY91" s="413"/>
      <c r="BZ91" s="413"/>
      <c r="CA91" s="413"/>
      <c r="CB91" s="413"/>
      <c r="CC91" s="413"/>
      <c r="CD91" s="413"/>
      <c r="CE91" s="413"/>
      <c r="CF91" s="413"/>
      <c r="CG91" s="413"/>
      <c r="CH91" s="413"/>
      <c r="CI91" s="413"/>
      <c r="CJ91" s="413"/>
      <c r="CK91" s="413"/>
      <c r="CL91" s="413"/>
      <c r="CM91" s="414"/>
      <c r="CN91" s="413"/>
      <c r="CO91" s="413"/>
      <c r="CP91" s="413"/>
      <c r="CQ91" s="413"/>
      <c r="CR91" s="413"/>
      <c r="CS91" s="413"/>
      <c r="CT91" s="413"/>
      <c r="CU91" s="413"/>
      <c r="CV91" s="413"/>
      <c r="CW91" s="414"/>
      <c r="CX91" s="413"/>
      <c r="CY91" s="413"/>
      <c r="CZ91" s="413"/>
      <c r="DA91" s="413"/>
      <c r="DB91" s="413"/>
      <c r="DC91" s="413"/>
      <c r="DD91" s="413"/>
      <c r="DE91" s="413"/>
      <c r="DF91" s="413"/>
      <c r="DG91" s="414"/>
      <c r="DH91" s="413"/>
      <c r="DI91" s="413"/>
      <c r="DJ91" s="413"/>
      <c r="DK91" s="413"/>
      <c r="DL91" s="413"/>
      <c r="DM91" s="413"/>
      <c r="DN91" s="413"/>
      <c r="DO91" s="413"/>
      <c r="DP91" s="413"/>
      <c r="DQ91" s="414"/>
      <c r="DR91" s="413"/>
      <c r="DS91" s="413"/>
      <c r="DT91" s="413"/>
      <c r="DU91" s="413"/>
      <c r="DV91" s="413"/>
      <c r="DW91" s="413"/>
      <c r="DX91" s="413"/>
      <c r="DY91" s="413"/>
      <c r="DZ91" s="413"/>
      <c r="EA91" s="413"/>
      <c r="EB91" s="413"/>
      <c r="EC91" s="413"/>
      <c r="ED91" s="413"/>
      <c r="EE91" s="413"/>
      <c r="EF91" s="413"/>
      <c r="EG91" s="413"/>
      <c r="EH91" s="413"/>
      <c r="EI91" s="413"/>
      <c r="EJ91" s="413"/>
      <c r="EK91" s="413"/>
      <c r="EL91" s="413"/>
      <c r="EM91" s="452"/>
      <c r="EN91" s="413"/>
      <c r="EO91" s="453"/>
      <c r="EP91" s="413"/>
      <c r="EQ91" s="434"/>
      <c r="ER91" s="434"/>
      <c r="ES91" s="434"/>
      <c r="ET91" s="434"/>
      <c r="EU91" s="434"/>
      <c r="EV91" s="434"/>
      <c r="EW91" s="434"/>
      <c r="EX91" s="434"/>
      <c r="EY91" s="434"/>
      <c r="EZ91" s="434"/>
      <c r="FA91" s="434"/>
      <c r="FB91" s="434"/>
      <c r="FC91" s="399"/>
      <c r="FD91" s="399"/>
      <c r="FE91" s="399"/>
      <c r="FF91" s="399"/>
      <c r="FG91" s="415"/>
      <c r="FH91" s="415"/>
      <c r="FI91" s="415"/>
      <c r="FJ91" s="415"/>
      <c r="FK91" s="415"/>
      <c r="FL91" s="415"/>
      <c r="FM91" s="415"/>
    </row>
    <row r="92" spans="1:169" hidden="1">
      <c r="A92" s="410"/>
      <c r="B92" s="416" t="s">
        <v>672</v>
      </c>
      <c r="C92" s="412"/>
      <c r="D92" s="412"/>
      <c r="E92" s="412"/>
      <c r="F92" s="412"/>
      <c r="G92" s="412"/>
      <c r="H92" s="412"/>
      <c r="I92" s="412"/>
      <c r="J92" s="412"/>
      <c r="K92" s="412"/>
      <c r="L92" s="412"/>
      <c r="M92" s="413"/>
      <c r="N92" s="413"/>
      <c r="O92" s="413"/>
      <c r="P92" s="413"/>
      <c r="Q92" s="413"/>
      <c r="R92" s="413"/>
      <c r="S92" s="413"/>
      <c r="T92" s="413"/>
      <c r="U92" s="413"/>
      <c r="V92" s="413"/>
      <c r="W92" s="413"/>
      <c r="X92" s="413"/>
      <c r="Y92" s="413"/>
      <c r="Z92" s="413"/>
      <c r="AA92" s="413"/>
      <c r="AB92" s="413"/>
      <c r="AC92" s="413"/>
      <c r="AD92" s="413"/>
      <c r="AE92" s="413"/>
      <c r="AF92" s="413"/>
      <c r="AG92" s="413"/>
      <c r="AH92" s="413"/>
      <c r="AI92" s="413"/>
      <c r="AJ92" s="413"/>
      <c r="AK92" s="413"/>
      <c r="AL92" s="413"/>
      <c r="AM92" s="413"/>
      <c r="AN92" s="413"/>
      <c r="AO92" s="414"/>
      <c r="AP92" s="413"/>
      <c r="AQ92" s="413"/>
      <c r="AR92" s="413"/>
      <c r="AS92" s="413"/>
      <c r="AT92" s="413"/>
      <c r="AU92" s="413"/>
      <c r="AV92" s="413"/>
      <c r="AW92" s="413"/>
      <c r="AX92" s="413"/>
      <c r="AY92" s="414"/>
      <c r="AZ92" s="413"/>
      <c r="BA92" s="413"/>
      <c r="BB92" s="413"/>
      <c r="BC92" s="413"/>
      <c r="BD92" s="413"/>
      <c r="BE92" s="413"/>
      <c r="BF92" s="413"/>
      <c r="BG92" s="413"/>
      <c r="BH92" s="413"/>
      <c r="BI92" s="414"/>
      <c r="BJ92" s="413"/>
      <c r="BK92" s="413"/>
      <c r="BL92" s="413"/>
      <c r="BM92" s="413"/>
      <c r="BN92" s="413"/>
      <c r="BO92" s="413"/>
      <c r="BP92" s="413"/>
      <c r="BQ92" s="413"/>
      <c r="BR92" s="413"/>
      <c r="BS92" s="413"/>
      <c r="BT92" s="413"/>
      <c r="BU92" s="413"/>
      <c r="BV92" s="413"/>
      <c r="BW92" s="413"/>
      <c r="BX92" s="413"/>
      <c r="BY92" s="413"/>
      <c r="BZ92" s="413"/>
      <c r="CA92" s="413"/>
      <c r="CB92" s="413"/>
      <c r="CC92" s="413"/>
      <c r="CD92" s="413"/>
      <c r="CE92" s="413"/>
      <c r="CF92" s="413"/>
      <c r="CG92" s="413"/>
      <c r="CH92" s="413"/>
      <c r="CI92" s="413"/>
      <c r="CJ92" s="413"/>
      <c r="CK92" s="413"/>
      <c r="CL92" s="413"/>
      <c r="CM92" s="414"/>
      <c r="CN92" s="413"/>
      <c r="CO92" s="413"/>
      <c r="CP92" s="413"/>
      <c r="CQ92" s="413"/>
      <c r="CR92" s="413"/>
      <c r="CS92" s="413"/>
      <c r="CT92" s="413"/>
      <c r="CU92" s="413"/>
      <c r="CV92" s="413"/>
      <c r="CW92" s="414"/>
      <c r="CX92" s="413"/>
      <c r="CY92" s="413"/>
      <c r="CZ92" s="413"/>
      <c r="DA92" s="413"/>
      <c r="DB92" s="413"/>
      <c r="DC92" s="413"/>
      <c r="DD92" s="413"/>
      <c r="DE92" s="413"/>
      <c r="DF92" s="413"/>
      <c r="DG92" s="414"/>
      <c r="DH92" s="413"/>
      <c r="DI92" s="413"/>
      <c r="DJ92" s="413"/>
      <c r="DK92" s="413"/>
      <c r="DL92" s="413"/>
      <c r="DM92" s="413"/>
      <c r="DN92" s="413"/>
      <c r="DO92" s="413"/>
      <c r="DP92" s="413"/>
      <c r="DQ92" s="414"/>
      <c r="DR92" s="413"/>
      <c r="DS92" s="413"/>
      <c r="DT92" s="413"/>
      <c r="DU92" s="413"/>
      <c r="DV92" s="413"/>
      <c r="DW92" s="413"/>
      <c r="DX92" s="413"/>
      <c r="DY92" s="413"/>
      <c r="DZ92" s="413"/>
      <c r="EA92" s="413"/>
      <c r="EB92" s="413"/>
      <c r="EC92" s="413"/>
      <c r="ED92" s="413"/>
      <c r="EE92" s="413"/>
      <c r="EF92" s="413"/>
      <c r="EG92" s="413"/>
      <c r="EH92" s="413"/>
      <c r="EI92" s="413"/>
      <c r="EJ92" s="413"/>
      <c r="EK92" s="413"/>
      <c r="EL92" s="413"/>
      <c r="EM92" s="452"/>
      <c r="EN92" s="413"/>
      <c r="EO92" s="453"/>
      <c r="EP92" s="413"/>
      <c r="EQ92" s="434"/>
      <c r="ER92" s="434"/>
      <c r="ES92" s="434"/>
      <c r="ET92" s="434"/>
      <c r="EU92" s="434"/>
      <c r="EV92" s="434"/>
      <c r="EW92" s="434"/>
      <c r="EX92" s="434"/>
      <c r="EY92" s="434"/>
      <c r="EZ92" s="434"/>
      <c r="FA92" s="434"/>
      <c r="FB92" s="434"/>
      <c r="FC92" s="399"/>
      <c r="FD92" s="399"/>
      <c r="FE92" s="399"/>
      <c r="FF92" s="399"/>
      <c r="FG92" s="415"/>
      <c r="FH92" s="415"/>
      <c r="FI92" s="415"/>
      <c r="FJ92" s="415"/>
      <c r="FK92" s="415"/>
      <c r="FL92" s="415"/>
      <c r="FM92" s="415"/>
    </row>
    <row r="93" spans="1:169" hidden="1">
      <c r="A93" s="410"/>
      <c r="B93" s="416"/>
      <c r="C93" s="412"/>
      <c r="D93" s="412"/>
      <c r="E93" s="412"/>
      <c r="F93" s="412"/>
      <c r="G93" s="412"/>
      <c r="H93" s="412"/>
      <c r="I93" s="412"/>
      <c r="J93" s="412"/>
      <c r="K93" s="412"/>
      <c r="L93" s="412"/>
      <c r="M93" s="413"/>
      <c r="N93" s="413"/>
      <c r="O93" s="413"/>
      <c r="P93" s="413"/>
      <c r="Q93" s="413"/>
      <c r="R93" s="413"/>
      <c r="S93" s="413"/>
      <c r="T93" s="413"/>
      <c r="U93" s="413"/>
      <c r="V93" s="413"/>
      <c r="W93" s="413"/>
      <c r="X93" s="413"/>
      <c r="Y93" s="413"/>
      <c r="Z93" s="413"/>
      <c r="AA93" s="413"/>
      <c r="AB93" s="413"/>
      <c r="AC93" s="413"/>
      <c r="AD93" s="413"/>
      <c r="AE93" s="413"/>
      <c r="AF93" s="413"/>
      <c r="AG93" s="413"/>
      <c r="AH93" s="413"/>
      <c r="AI93" s="413"/>
      <c r="AJ93" s="413"/>
      <c r="AK93" s="413"/>
      <c r="AL93" s="413"/>
      <c r="AM93" s="413"/>
      <c r="AN93" s="413"/>
      <c r="AO93" s="414"/>
      <c r="AP93" s="413"/>
      <c r="AQ93" s="413"/>
      <c r="AR93" s="413"/>
      <c r="AS93" s="413"/>
      <c r="AT93" s="413"/>
      <c r="AU93" s="413"/>
      <c r="AV93" s="413"/>
      <c r="AW93" s="413"/>
      <c r="AX93" s="413"/>
      <c r="AY93" s="414"/>
      <c r="AZ93" s="413"/>
      <c r="BA93" s="413"/>
      <c r="BB93" s="413"/>
      <c r="BC93" s="413"/>
      <c r="BD93" s="413"/>
      <c r="BE93" s="413"/>
      <c r="BF93" s="413"/>
      <c r="BG93" s="413"/>
      <c r="BH93" s="413"/>
      <c r="BI93" s="414"/>
      <c r="BJ93" s="413"/>
      <c r="BK93" s="413"/>
      <c r="BL93" s="413"/>
      <c r="BM93" s="413"/>
      <c r="BN93" s="413"/>
      <c r="BO93" s="413"/>
      <c r="BP93" s="413"/>
      <c r="BQ93" s="413"/>
      <c r="BR93" s="413"/>
      <c r="BS93" s="413"/>
      <c r="BT93" s="413"/>
      <c r="BU93" s="413"/>
      <c r="BV93" s="413"/>
      <c r="BW93" s="413"/>
      <c r="BX93" s="413"/>
      <c r="BY93" s="413"/>
      <c r="BZ93" s="413"/>
      <c r="CA93" s="413"/>
      <c r="CB93" s="413"/>
      <c r="CC93" s="413"/>
      <c r="CD93" s="413"/>
      <c r="CE93" s="413"/>
      <c r="CF93" s="413"/>
      <c r="CG93" s="413"/>
      <c r="CH93" s="413"/>
      <c r="CI93" s="413"/>
      <c r="CJ93" s="413"/>
      <c r="CK93" s="413"/>
      <c r="CL93" s="413"/>
      <c r="CM93" s="414"/>
      <c r="CN93" s="413"/>
      <c r="CO93" s="413"/>
      <c r="CP93" s="413"/>
      <c r="CQ93" s="413"/>
      <c r="CR93" s="413"/>
      <c r="CS93" s="413"/>
      <c r="CT93" s="413"/>
      <c r="CU93" s="413"/>
      <c r="CV93" s="413"/>
      <c r="CW93" s="414"/>
      <c r="CX93" s="413"/>
      <c r="CY93" s="413"/>
      <c r="CZ93" s="413"/>
      <c r="DA93" s="413"/>
      <c r="DB93" s="413"/>
      <c r="DC93" s="413"/>
      <c r="DD93" s="413"/>
      <c r="DE93" s="413"/>
      <c r="DF93" s="413"/>
      <c r="DG93" s="414"/>
      <c r="DH93" s="413"/>
      <c r="DI93" s="413"/>
      <c r="DJ93" s="413"/>
      <c r="DK93" s="413"/>
      <c r="DL93" s="413"/>
      <c r="DM93" s="413"/>
      <c r="DN93" s="413"/>
      <c r="DO93" s="413"/>
      <c r="DP93" s="413"/>
      <c r="DQ93" s="414"/>
      <c r="DR93" s="413"/>
      <c r="DS93" s="413"/>
      <c r="DT93" s="413"/>
      <c r="DU93" s="413"/>
      <c r="DV93" s="413"/>
      <c r="DW93" s="413"/>
      <c r="DX93" s="413"/>
      <c r="DY93" s="413"/>
      <c r="DZ93" s="413"/>
      <c r="EA93" s="413"/>
      <c r="EB93" s="413"/>
      <c r="EC93" s="413"/>
      <c r="ED93" s="413"/>
      <c r="EE93" s="413"/>
      <c r="EF93" s="413"/>
      <c r="EG93" s="413"/>
      <c r="EH93" s="413"/>
      <c r="EI93" s="413"/>
      <c r="EJ93" s="413"/>
      <c r="EK93" s="413"/>
      <c r="EL93" s="413"/>
      <c r="EM93" s="452"/>
      <c r="EN93" s="413"/>
      <c r="EO93" s="453"/>
      <c r="EP93" s="413"/>
      <c r="EQ93" s="434"/>
      <c r="ER93" s="434"/>
      <c r="ES93" s="434"/>
      <c r="ET93" s="434"/>
      <c r="EU93" s="434"/>
      <c r="EV93" s="434"/>
      <c r="EW93" s="434"/>
      <c r="EX93" s="434"/>
      <c r="EY93" s="434"/>
      <c r="EZ93" s="434"/>
      <c r="FA93" s="434"/>
      <c r="FB93" s="434"/>
      <c r="FC93" s="399"/>
      <c r="FD93" s="399"/>
      <c r="FE93" s="399"/>
      <c r="FF93" s="399"/>
      <c r="FG93" s="415"/>
      <c r="FH93" s="415"/>
      <c r="FI93" s="415"/>
      <c r="FJ93" s="415"/>
      <c r="FK93" s="415"/>
      <c r="FL93" s="415"/>
      <c r="FM93" s="415"/>
    </row>
    <row r="94" spans="1:169">
      <c r="A94" s="410" t="s">
        <v>39</v>
      </c>
      <c r="B94" s="406" t="s">
        <v>1200</v>
      </c>
      <c r="C94" s="412"/>
      <c r="D94" s="412"/>
      <c r="E94" s="412"/>
      <c r="F94" s="412"/>
      <c r="G94" s="412"/>
      <c r="H94" s="412"/>
      <c r="I94" s="412"/>
      <c r="J94" s="412"/>
      <c r="K94" s="412"/>
      <c r="L94" s="412"/>
      <c r="M94" s="413"/>
      <c r="N94" s="413"/>
      <c r="O94" s="413"/>
      <c r="P94" s="413"/>
      <c r="Q94" s="413"/>
      <c r="R94" s="413"/>
      <c r="S94" s="413"/>
      <c r="T94" s="413"/>
      <c r="U94" s="413"/>
      <c r="V94" s="413"/>
      <c r="W94" s="413"/>
      <c r="X94" s="413"/>
      <c r="Y94" s="413"/>
      <c r="Z94" s="413"/>
      <c r="AA94" s="413"/>
      <c r="AB94" s="413"/>
      <c r="AC94" s="413"/>
      <c r="AD94" s="413"/>
      <c r="AE94" s="413"/>
      <c r="AF94" s="413"/>
      <c r="AG94" s="413"/>
      <c r="AH94" s="413"/>
      <c r="AI94" s="413"/>
      <c r="AJ94" s="413"/>
      <c r="AK94" s="413"/>
      <c r="AL94" s="413"/>
      <c r="AM94" s="413"/>
      <c r="AN94" s="413"/>
      <c r="AO94" s="414"/>
      <c r="AP94" s="413"/>
      <c r="AQ94" s="413"/>
      <c r="AR94" s="413"/>
      <c r="AS94" s="413"/>
      <c r="AT94" s="413"/>
      <c r="AU94" s="413"/>
      <c r="AV94" s="413"/>
      <c r="AW94" s="413"/>
      <c r="AX94" s="413"/>
      <c r="AY94" s="414"/>
      <c r="AZ94" s="413"/>
      <c r="BA94" s="413"/>
      <c r="BB94" s="413"/>
      <c r="BC94" s="413"/>
      <c r="BD94" s="413"/>
      <c r="BE94" s="413"/>
      <c r="BF94" s="413"/>
      <c r="BG94" s="413"/>
      <c r="BH94" s="413"/>
      <c r="BI94" s="414"/>
      <c r="BJ94" s="413"/>
      <c r="BK94" s="413"/>
      <c r="BL94" s="413"/>
      <c r="BM94" s="413"/>
      <c r="BN94" s="413"/>
      <c r="BO94" s="413"/>
      <c r="BP94" s="413"/>
      <c r="BQ94" s="413"/>
      <c r="BR94" s="413"/>
      <c r="BS94" s="413"/>
      <c r="BT94" s="413"/>
      <c r="BU94" s="413"/>
      <c r="BV94" s="413"/>
      <c r="BW94" s="413"/>
      <c r="BX94" s="413"/>
      <c r="BY94" s="413"/>
      <c r="BZ94" s="413"/>
      <c r="CA94" s="413"/>
      <c r="CB94" s="413"/>
      <c r="CC94" s="413"/>
      <c r="CD94" s="413"/>
      <c r="CE94" s="413"/>
      <c r="CF94" s="413"/>
      <c r="CG94" s="413"/>
      <c r="CH94" s="413"/>
      <c r="CI94" s="413"/>
      <c r="CJ94" s="413"/>
      <c r="CK94" s="413"/>
      <c r="CL94" s="413"/>
      <c r="CM94" s="414"/>
      <c r="CN94" s="413"/>
      <c r="CO94" s="413"/>
      <c r="CP94" s="413"/>
      <c r="CQ94" s="413"/>
      <c r="CR94" s="413"/>
      <c r="CS94" s="413"/>
      <c r="CT94" s="413"/>
      <c r="CU94" s="413"/>
      <c r="CV94" s="413"/>
      <c r="CW94" s="414"/>
      <c r="CX94" s="413"/>
      <c r="CY94" s="413"/>
      <c r="CZ94" s="413"/>
      <c r="DA94" s="413"/>
      <c r="DB94" s="413"/>
      <c r="DC94" s="413"/>
      <c r="DD94" s="413"/>
      <c r="DE94" s="413"/>
      <c r="DF94" s="413"/>
      <c r="DG94" s="414"/>
      <c r="DH94" s="413"/>
      <c r="DI94" s="413"/>
      <c r="DJ94" s="413"/>
      <c r="DK94" s="413"/>
      <c r="DL94" s="413"/>
      <c r="DM94" s="413"/>
      <c r="DN94" s="413"/>
      <c r="DO94" s="413"/>
      <c r="DP94" s="413"/>
      <c r="DQ94" s="414"/>
      <c r="DR94" s="413"/>
      <c r="DS94" s="413"/>
      <c r="DT94" s="413"/>
      <c r="DU94" s="413"/>
      <c r="DV94" s="413"/>
      <c r="DW94" s="413"/>
      <c r="DX94" s="413"/>
      <c r="DY94" s="413"/>
      <c r="DZ94" s="413"/>
      <c r="EA94" s="413"/>
      <c r="EB94" s="413"/>
      <c r="EC94" s="413"/>
      <c r="ED94" s="413"/>
      <c r="EE94" s="413"/>
      <c r="EF94" s="413"/>
      <c r="EG94" s="413"/>
      <c r="EH94" s="413"/>
      <c r="EI94" s="413"/>
      <c r="EJ94" s="413"/>
      <c r="EK94" s="413"/>
      <c r="EL94" s="413"/>
      <c r="EM94" s="452"/>
      <c r="EN94" s="413"/>
      <c r="EO94" s="453"/>
      <c r="EP94" s="413"/>
      <c r="EQ94" s="434"/>
      <c r="ER94" s="434"/>
      <c r="ES94" s="434"/>
      <c r="ET94" s="434"/>
      <c r="EU94" s="434"/>
      <c r="EV94" s="434"/>
      <c r="EW94" s="434"/>
      <c r="EX94" s="434"/>
      <c r="EY94" s="434"/>
      <c r="EZ94" s="434"/>
      <c r="FA94" s="434"/>
      <c r="FB94" s="434"/>
      <c r="FC94" s="399"/>
      <c r="FD94" s="399"/>
      <c r="FE94" s="399"/>
      <c r="FF94" s="399"/>
      <c r="FG94" s="415"/>
      <c r="FH94" s="415"/>
      <c r="FI94" s="415"/>
      <c r="FJ94" s="415"/>
      <c r="FK94" s="415"/>
      <c r="FL94" s="415"/>
      <c r="FM94" s="415"/>
    </row>
    <row r="95" spans="1:169">
      <c r="A95" s="410" t="s">
        <v>15</v>
      </c>
      <c r="B95" s="411" t="str">
        <f>+F1_PP_Annual!B169</f>
        <v xml:space="preserve">TPTCL PPA </v>
      </c>
      <c r="C95" s="917">
        <f>+F1_PP_Annual!C169</f>
        <v>1980</v>
      </c>
      <c r="D95" s="800">
        <f>+F1_PP_Annual!H169</f>
        <v>2.5252525252525255E-3</v>
      </c>
      <c r="E95" s="801"/>
      <c r="F95" s="800">
        <f>+F1_PP_Annual!E169</f>
        <v>0</v>
      </c>
      <c r="G95" s="802" t="str">
        <f>+F1_PP_Annual!I169</f>
        <v>4-6</v>
      </c>
      <c r="H95" s="412" t="str">
        <f>+F1_PP_Annual!F169</f>
        <v>NO</v>
      </c>
      <c r="I95" s="801" t="s">
        <v>2110</v>
      </c>
      <c r="J95" s="804">
        <f>+F1_PP_Annual!J169</f>
        <v>20.821720000000003</v>
      </c>
      <c r="K95" s="800">
        <v>0</v>
      </c>
      <c r="L95" s="805">
        <f>+'Energy Balance'!$I$17</f>
        <v>3.1800000000000057E-2</v>
      </c>
      <c r="M95" s="413">
        <f>+J95*(1-L95)</f>
        <v>20.159589304000001</v>
      </c>
      <c r="N95" s="413">
        <f>+[3]Data!D82</f>
        <v>1.9011075</v>
      </c>
      <c r="O95" s="413"/>
      <c r="P95" s="413"/>
      <c r="Q95" s="413">
        <f>IFERROR(+R95/N95*10,0)</f>
        <v>6.5599999999999987</v>
      </c>
      <c r="R95" s="413">
        <f>+[3]Data!D98</f>
        <v>1.2471265199999999</v>
      </c>
      <c r="S95" s="808">
        <f>IFERROR(+T95/N95*10,0)</f>
        <v>0.20861718761300982</v>
      </c>
      <c r="T95" s="413">
        <f>+[3]Data!D114+[3]Data!D118-[3]Data!D106</f>
        <v>3.9660370000000007E-2</v>
      </c>
      <c r="U95" s="413"/>
      <c r="V95" s="413">
        <f>IFERROR(+W95/N95*10,0)</f>
        <v>6.7686171876130095</v>
      </c>
      <c r="W95" s="807">
        <f>+P95+R95+T95+U95</f>
        <v>1.2867868899999999</v>
      </c>
      <c r="X95" s="413">
        <f>+[3]Data!E82</f>
        <v>2.6343399999999999</v>
      </c>
      <c r="Y95" s="413"/>
      <c r="Z95" s="413"/>
      <c r="AA95" s="808">
        <f>IFERROR(+AB95/X95*10,0)</f>
        <v>6.5599999999999987</v>
      </c>
      <c r="AB95" s="413">
        <f>+[3]Data!E98</f>
        <v>1.7281270399999997</v>
      </c>
      <c r="AC95" s="808">
        <f>IFERROR(+AD95/X95*10,0)</f>
        <v>-6.5599999999999992E-2</v>
      </c>
      <c r="AD95" s="413">
        <f>+[3]Data!E114-[3]Data!E106+[3]Data!E122</f>
        <v>-1.72812704E-2</v>
      </c>
      <c r="AE95" s="413"/>
      <c r="AF95" s="413">
        <f>IFERROR(+AG95/X95*10,0)</f>
        <v>6.4943999999999988</v>
      </c>
      <c r="AG95" s="807">
        <f>+Z95+AB95+AD95+AE95</f>
        <v>1.7108457695999997</v>
      </c>
      <c r="AH95" s="413">
        <f>+[3]Data!F82</f>
        <v>3.0080374999999999</v>
      </c>
      <c r="AI95" s="413"/>
      <c r="AJ95" s="413"/>
      <c r="AK95" s="413">
        <f>IFERROR(+AL95/AH95*10,0)</f>
        <v>6.5600000000000005</v>
      </c>
      <c r="AL95" s="413">
        <f>+[3]Data!F98</f>
        <v>1.9732726</v>
      </c>
      <c r="AM95" s="413">
        <f>IFERROR(+AN95/AH95*10,0)</f>
        <v>-0.13120000000000001</v>
      </c>
      <c r="AN95" s="413">
        <f>+[3]Data!F114-[3]Data!F106+[3]Data!F122</f>
        <v>-3.9465452000000005E-2</v>
      </c>
      <c r="AO95" s="413"/>
      <c r="AP95" s="413">
        <f>IFERROR(+AQ95/AH95*10,0)</f>
        <v>6.4287999999999998</v>
      </c>
      <c r="AQ95" s="807">
        <f>+AJ95+AL95+AN95+AO95</f>
        <v>1.9338071480000001</v>
      </c>
      <c r="AR95" s="413">
        <f>+[3]Data!G82</f>
        <v>3.1803400000000002</v>
      </c>
      <c r="AS95" s="413"/>
      <c r="AT95" s="413"/>
      <c r="AU95" s="413">
        <f>IFERROR(+AV95/AR95*10,0)</f>
        <v>6.5599999999999987</v>
      </c>
      <c r="AV95" s="413">
        <f>+[3]Data!G98</f>
        <v>2.0863030399999998</v>
      </c>
      <c r="AW95" s="413">
        <f>IFERROR(+AX95/AR95*10,0)</f>
        <v>-0.13119980882547147</v>
      </c>
      <c r="AX95" s="413">
        <f>+[3]Data!G114-[3]Data!G106+[3]Data!G122</f>
        <v>-4.1725999999999999E-2</v>
      </c>
      <c r="AY95" s="413"/>
      <c r="AZ95" s="413">
        <f>IFERROR(+BA95/AR95*10,0)</f>
        <v>6.4288001911745276</v>
      </c>
      <c r="BA95" s="807">
        <f>+AT95+AV95+AX95+AY95</f>
        <v>2.0445770399999996</v>
      </c>
      <c r="BB95" s="413">
        <f>+[3]Data!H82</f>
        <v>3.2203875000000002</v>
      </c>
      <c r="BC95" s="413"/>
      <c r="BD95" s="413"/>
      <c r="BE95" s="413">
        <f>IFERROR(+BF95/BB95*10,0)</f>
        <v>6.5600000000000005</v>
      </c>
      <c r="BF95" s="413">
        <f>+[3]Data!H98</f>
        <v>2.1125742000000001</v>
      </c>
      <c r="BG95" s="413">
        <f>IFERROR(+BH95/BB95*10,0)</f>
        <v>4.781350070449597E-2</v>
      </c>
      <c r="BH95" s="413">
        <f>+[3]Data!H114+[3]Data!H122-[3]Data!H106</f>
        <v>1.5397800000000003E-2</v>
      </c>
      <c r="BI95" s="413"/>
      <c r="BJ95" s="413">
        <f>IFERROR(+BK95/BB95*10,0)</f>
        <v>6.6078135007044958</v>
      </c>
      <c r="BK95" s="807">
        <f>+BD95+BF95+BH95+BI95</f>
        <v>2.1279720000000002</v>
      </c>
      <c r="BL95" s="413">
        <f>+[3]Data!I82</f>
        <v>3.3605299999999998</v>
      </c>
      <c r="BM95" s="413"/>
      <c r="BN95" s="413"/>
      <c r="BO95" s="413">
        <f>IFERROR(+BP95/BL95*10,0)</f>
        <v>6.5600000000000005</v>
      </c>
      <c r="BP95" s="413">
        <f>+[3]Data!I98</f>
        <v>2.2045076799999999</v>
      </c>
      <c r="BQ95" s="413">
        <f>IFERROR(+BR95/BL95*10,0)</f>
        <v>-1.559158823161824E-2</v>
      </c>
      <c r="BR95" s="413">
        <f>+[3]Data!I114-[3]Data!I106+[3]Data!I122</f>
        <v>-5.239600000000004E-3</v>
      </c>
      <c r="BS95" s="413"/>
      <c r="BT95" s="413">
        <f>IFERROR(+BU95/BL95*10,0)</f>
        <v>6.5444084117683818</v>
      </c>
      <c r="BU95" s="807">
        <f>+BN95+BP95+BR95+BS95</f>
        <v>2.19926808</v>
      </c>
      <c r="BV95" s="413">
        <f>+[3]Data!J82</f>
        <v>3.5169774999999999</v>
      </c>
      <c r="BW95" s="413"/>
      <c r="BX95" s="413"/>
      <c r="BY95" s="413">
        <f>IFERROR(+BZ95/BV95*10,0)</f>
        <v>6.5600000000000005</v>
      </c>
      <c r="BZ95" s="413">
        <f>+[3]Data!J98</f>
        <v>2.3071372399999999</v>
      </c>
      <c r="CA95" s="413">
        <f>IFERROR(+CB95/BV95*10,0)</f>
        <v>-2.8947583542971216E-2</v>
      </c>
      <c r="CB95" s="413">
        <f>+[3]Data!J114-[3]Data!J106+[3]Data!J122</f>
        <v>-1.0180800000000004E-2</v>
      </c>
      <c r="CC95" s="413"/>
      <c r="CD95" s="413">
        <f>IFERROR(+CE95/BV95*10,0)</f>
        <v>6.5310524164570278</v>
      </c>
      <c r="CE95" s="807">
        <f>+BX95+BZ95+CB95+CC95</f>
        <v>2.2969564399999998</v>
      </c>
      <c r="CF95" s="413"/>
      <c r="CG95" s="413"/>
      <c r="CH95" s="413"/>
      <c r="CI95" s="413"/>
      <c r="CJ95" s="413"/>
      <c r="CK95" s="413"/>
      <c r="CL95" s="413"/>
      <c r="CM95" s="413"/>
      <c r="CN95" s="413"/>
      <c r="CO95" s="807"/>
      <c r="CP95" s="807"/>
      <c r="CQ95" s="807"/>
      <c r="CR95" s="807"/>
      <c r="CS95" s="807"/>
      <c r="CT95" s="807"/>
      <c r="CU95" s="807"/>
      <c r="CV95" s="807"/>
      <c r="CW95" s="807"/>
      <c r="CX95" s="807"/>
      <c r="CY95" s="807"/>
      <c r="CZ95" s="807"/>
      <c r="DA95" s="807"/>
      <c r="DB95" s="807"/>
      <c r="DC95" s="807"/>
      <c r="DD95" s="807"/>
      <c r="DE95" s="807"/>
      <c r="DF95" s="807"/>
      <c r="DG95" s="807"/>
      <c r="DH95" s="807"/>
      <c r="DI95" s="807"/>
      <c r="DJ95" s="807"/>
      <c r="DK95" s="807"/>
      <c r="DL95" s="807"/>
      <c r="DM95" s="807"/>
      <c r="DN95" s="807"/>
      <c r="DO95" s="807"/>
      <c r="DP95" s="807"/>
      <c r="DQ95" s="807"/>
      <c r="DR95" s="807"/>
      <c r="DS95" s="807"/>
      <c r="DT95" s="807"/>
      <c r="DU95" s="807"/>
      <c r="DV95" s="807"/>
      <c r="DW95" s="807"/>
      <c r="DX95" s="807"/>
      <c r="DY95" s="807"/>
      <c r="DZ95" s="807"/>
      <c r="EA95" s="807"/>
      <c r="EB95" s="807"/>
      <c r="EC95" s="807"/>
      <c r="ED95" s="413"/>
      <c r="EE95" s="413">
        <f>N95+X95+AH95+AR95+BB95+BL95+BV95+CF95+CP95+CZ95+DJ95+DT95</f>
        <v>20.821720000000003</v>
      </c>
      <c r="EF95" s="413"/>
      <c r="EG95" s="413"/>
      <c r="EH95" s="808">
        <f>IFERROR(+EI95/EE95*10,0)</f>
        <v>6.5599999999999987</v>
      </c>
      <c r="EI95" s="413">
        <f>R95+AB95+AL95+AV95+BF95+BP95+BZ95+CJ95+CT95+DD95+DN95+DX95</f>
        <v>13.65904832</v>
      </c>
      <c r="EJ95" s="808">
        <f>IFERROR(+EK95/EE95*10,0)</f>
        <v>-2.8256528471231002E-2</v>
      </c>
      <c r="EK95" s="413">
        <f>T95+AD95+AN95+AX95+BH95+BR95+CB95+CL95+CV95+DF95+DP95+DZ95</f>
        <v>-5.8834952400000001E-2</v>
      </c>
      <c r="EL95" s="413"/>
      <c r="EM95" s="413">
        <f>IFERROR(+EN95/EE95*10,0)</f>
        <v>6.5317434715287686</v>
      </c>
      <c r="EN95" s="807">
        <f>+EG95+EI95+EK95+EL95</f>
        <v>13.6002133676</v>
      </c>
      <c r="EO95" s="809">
        <f>+EN95/EE95*10</f>
        <v>6.5317434715287686</v>
      </c>
      <c r="EP95" s="413">
        <f>+EN95/M95*10</f>
        <v>6.746275017071647</v>
      </c>
      <c r="EQ95" s="434"/>
      <c r="ER95" s="434"/>
      <c r="ES95" s="434"/>
      <c r="ET95" s="434"/>
      <c r="EU95" s="434"/>
      <c r="EV95" s="434"/>
      <c r="EW95" s="434"/>
      <c r="EX95" s="434"/>
      <c r="EY95" s="434"/>
      <c r="EZ95" s="434"/>
      <c r="FA95" s="434"/>
      <c r="FB95" s="434"/>
      <c r="FC95" s="399"/>
      <c r="FD95" s="399"/>
      <c r="FE95" s="399"/>
      <c r="FF95" s="399"/>
      <c r="FG95" s="415"/>
      <c r="FH95" s="415"/>
      <c r="FI95" s="415"/>
      <c r="FJ95" s="415"/>
      <c r="FK95" s="415"/>
      <c r="FL95" s="415"/>
      <c r="FM95" s="415"/>
    </row>
    <row r="96" spans="1:169">
      <c r="A96" s="410" t="s">
        <v>16</v>
      </c>
      <c r="B96" s="411" t="str">
        <f>+F1_PP_Annual!B170</f>
        <v>DCM Sugars - Bagasse</v>
      </c>
      <c r="C96" s="917">
        <f>+F1_PP_Annual!C170</f>
        <v>7.5</v>
      </c>
      <c r="D96" s="800">
        <f>+F1_PP_Annual!H170</f>
        <v>0.66666666666666663</v>
      </c>
      <c r="E96" s="801"/>
      <c r="F96" s="800">
        <f>+F1_PP_Annual!E170</f>
        <v>0</v>
      </c>
      <c r="G96" s="803">
        <f>+F1_PP_Annual!I170</f>
        <v>5</v>
      </c>
      <c r="H96" s="412" t="str">
        <f>+F1_PP_Annual!F170</f>
        <v>NO</v>
      </c>
      <c r="I96" s="801" t="s">
        <v>2109</v>
      </c>
      <c r="J96" s="804">
        <f>+F1_PP_Annual!J170</f>
        <v>14.428750000000001</v>
      </c>
      <c r="K96" s="800">
        <v>0</v>
      </c>
      <c r="L96" s="805">
        <f>+'Energy Balance'!$I$17</f>
        <v>3.1800000000000057E-2</v>
      </c>
      <c r="M96" s="413">
        <f>+J96*(1-L96)</f>
        <v>13.96991575</v>
      </c>
      <c r="N96" s="413">
        <f>+[3]Data!D83</f>
        <v>0</v>
      </c>
      <c r="O96" s="413"/>
      <c r="P96" s="413"/>
      <c r="Q96" s="413"/>
      <c r="R96" s="413"/>
      <c r="S96" s="413"/>
      <c r="T96" s="413"/>
      <c r="U96" s="413"/>
      <c r="V96" s="413"/>
      <c r="W96" s="807"/>
      <c r="X96" s="413"/>
      <c r="Y96" s="413"/>
      <c r="Z96" s="413"/>
      <c r="AA96" s="413"/>
      <c r="AB96" s="413"/>
      <c r="AC96" s="413"/>
      <c r="AD96" s="413"/>
      <c r="AE96" s="413"/>
      <c r="AF96" s="413"/>
      <c r="AG96" s="807"/>
      <c r="AH96" s="413"/>
      <c r="AI96" s="413"/>
      <c r="AJ96" s="413"/>
      <c r="AK96" s="413"/>
      <c r="AL96" s="413"/>
      <c r="AM96" s="413"/>
      <c r="AN96" s="413"/>
      <c r="AO96" s="413"/>
      <c r="AP96" s="413"/>
      <c r="AQ96" s="807"/>
      <c r="AR96" s="413"/>
      <c r="AS96" s="413"/>
      <c r="AT96" s="413"/>
      <c r="AU96" s="413"/>
      <c r="AV96" s="413"/>
      <c r="AW96" s="413"/>
      <c r="AX96" s="413"/>
      <c r="AY96" s="413"/>
      <c r="AZ96" s="413"/>
      <c r="BA96" s="807"/>
      <c r="BB96" s="413">
        <f>+[3]Data!H83</f>
        <v>0</v>
      </c>
      <c r="BC96" s="413"/>
      <c r="BD96" s="413"/>
      <c r="BE96" s="413"/>
      <c r="BF96" s="413"/>
      <c r="BG96" s="413"/>
      <c r="BH96" s="413"/>
      <c r="BI96" s="413"/>
      <c r="BJ96" s="413"/>
      <c r="BK96" s="807"/>
      <c r="BL96" s="413"/>
      <c r="BM96" s="413"/>
      <c r="BN96" s="413"/>
      <c r="BO96" s="413"/>
      <c r="BP96" s="413"/>
      <c r="BQ96" s="413"/>
      <c r="BR96" s="413"/>
      <c r="BS96" s="413"/>
      <c r="BT96" s="413"/>
      <c r="BU96" s="807"/>
      <c r="BV96" s="413"/>
      <c r="BW96" s="413"/>
      <c r="BX96" s="413"/>
      <c r="BY96" s="413"/>
      <c r="BZ96" s="413"/>
      <c r="CA96" s="413"/>
      <c r="CB96" s="413"/>
      <c r="CC96" s="413"/>
      <c r="CD96" s="413">
        <f t="shared" ref="CD96:CD99" si="0">IFERROR(+CE96/BV96*10,0)</f>
        <v>0</v>
      </c>
      <c r="CE96" s="807">
        <f t="shared" ref="CE96:CE99" si="1">+BX96+BZ96+CB96+CC96</f>
        <v>0</v>
      </c>
      <c r="CF96" s="413"/>
      <c r="CG96" s="413"/>
      <c r="CH96" s="413"/>
      <c r="CI96" s="413"/>
      <c r="CJ96" s="413"/>
      <c r="CK96" s="413"/>
      <c r="CL96" s="413"/>
      <c r="CM96" s="413"/>
      <c r="CN96" s="413"/>
      <c r="CO96" s="807"/>
      <c r="CP96" s="413">
        <f>+[3]Data!L83</f>
        <v>3.645</v>
      </c>
      <c r="CQ96" s="413"/>
      <c r="CR96" s="413"/>
      <c r="CS96" s="413">
        <f>IFERROR(+CT96/CP96*10,0)</f>
        <v>5.4499999999999993</v>
      </c>
      <c r="CT96" s="413">
        <f>+[3]Data!L99</f>
        <v>1.9865249999999999</v>
      </c>
      <c r="CU96" s="413">
        <f>IFERROR(+CV96/CP96*10,0)</f>
        <v>8.9511659807956102E-3</v>
      </c>
      <c r="CV96" s="413">
        <f>+[3]Data!L115-[3]Data!L107+[3]Data!L123</f>
        <v>3.2627000000000003E-3</v>
      </c>
      <c r="CW96" s="413"/>
      <c r="CX96" s="413">
        <f t="shared" ref="CX96:CX99" si="2">IFERROR(+CY96/CP96*10,0)</f>
        <v>5.4589511659807952</v>
      </c>
      <c r="CY96" s="807">
        <f t="shared" ref="CY96:CY99" si="3">+CR96+CT96+CV96+CW96</f>
        <v>1.9897876999999999</v>
      </c>
      <c r="CZ96" s="413">
        <f>+[3]Data!M83</f>
        <v>3.72</v>
      </c>
      <c r="DA96" s="413"/>
      <c r="DB96" s="413"/>
      <c r="DC96" s="413">
        <f>IFERROR(+DD96/CZ96*10,0)</f>
        <v>5.45</v>
      </c>
      <c r="DD96" s="413">
        <f>+[3]Data!M99</f>
        <v>2.0274000000000001</v>
      </c>
      <c r="DE96" s="413">
        <f>IFERROR(+DF96/CZ96*10,0)</f>
        <v>-3.9908602150537639E-2</v>
      </c>
      <c r="DF96" s="413">
        <f>+[3]Data!M115-[3]Data!M107+[3]Data!M123</f>
        <v>-1.4846000000000002E-2</v>
      </c>
      <c r="DG96" s="413"/>
      <c r="DH96" s="413">
        <f t="shared" ref="DH96:DH99" si="4">IFERROR(+DI96/CZ96*10,0)</f>
        <v>5.4100913978494622</v>
      </c>
      <c r="DI96" s="807">
        <f t="shared" ref="DI96:DI99" si="5">+DB96+DD96+DF96+DG96</f>
        <v>2.0125540000000002</v>
      </c>
      <c r="DJ96" s="413">
        <f>+[3]Data!N83</f>
        <v>3.34375</v>
      </c>
      <c r="DK96" s="413"/>
      <c r="DL96" s="413"/>
      <c r="DM96" s="413">
        <f>IFERROR(+DN96/DJ96*10,0)</f>
        <v>5.4499999999999993</v>
      </c>
      <c r="DN96" s="413">
        <f>+[3]Data!N99</f>
        <v>1.8223437499999999</v>
      </c>
      <c r="DO96" s="413">
        <f>IFERROR(+DP96/DJ96*10,0)</f>
        <v>-4.2854579439252333E-2</v>
      </c>
      <c r="DP96" s="413">
        <f>+[3]Data!N115-[3]Data!N107+[3]Data!N123</f>
        <v>-1.43295E-2</v>
      </c>
      <c r="DQ96" s="413"/>
      <c r="DR96" s="413">
        <f t="shared" ref="DR96:DR99" si="6">IFERROR(+DS96/DJ96*10,0)</f>
        <v>5.407145420560747</v>
      </c>
      <c r="DS96" s="807">
        <f t="shared" ref="DS96:DS99" si="7">+DL96+DN96+DP96+DQ96</f>
        <v>1.8080142499999998</v>
      </c>
      <c r="DT96" s="413">
        <f>+[3]Data!O83</f>
        <v>3.72</v>
      </c>
      <c r="DU96" s="413"/>
      <c r="DV96" s="413"/>
      <c r="DW96" s="413">
        <f>IFERROR(+DX96/DT96*10,0)</f>
        <v>5.45</v>
      </c>
      <c r="DX96" s="413">
        <f>+[3]Data!O99</f>
        <v>2.0274000000000001</v>
      </c>
      <c r="DY96" s="413">
        <f>IFERROR(+DZ96/DT96*10,0)</f>
        <v>-4.3080645161290315E-2</v>
      </c>
      <c r="DZ96" s="413">
        <f>+[3]Data!O115-[3]Data!O107+[3]Data!O123</f>
        <v>-1.6025999999999999E-2</v>
      </c>
      <c r="EA96" s="413"/>
      <c r="EB96" s="413">
        <f t="shared" ref="EB96:EB99" si="8">IFERROR(+EC96/DT96*10,0)</f>
        <v>5.4069193548387098</v>
      </c>
      <c r="EC96" s="807">
        <f t="shared" ref="EC96:EC99" si="9">+DV96+DX96+DZ96+EA96</f>
        <v>2.011374</v>
      </c>
      <c r="ED96" s="413"/>
      <c r="EE96" s="413">
        <f t="shared" ref="EE96:EE99" si="10">N96+X96+AH96+AR96+BB96+BL96+BV96+CF96+CP96+CZ96+DJ96+DT96</f>
        <v>14.428750000000001</v>
      </c>
      <c r="EF96" s="413"/>
      <c r="EG96" s="413"/>
      <c r="EH96" s="413">
        <f>IFERROR(+EI96/EE96*10,0)</f>
        <v>5.45</v>
      </c>
      <c r="EI96" s="413">
        <f t="shared" ref="EI96:EI99" si="11">R96+AB96+AL96+AV96+BF96+BP96+BZ96+CJ96+CT96+DD96+DN96+DX96</f>
        <v>7.8636687500000004</v>
      </c>
      <c r="EJ96" s="413">
        <f>IFERROR(+EK96/EE96*10,0)</f>
        <v>-2.906613532010742E-2</v>
      </c>
      <c r="EK96" s="413">
        <f t="shared" ref="EK96:EK99" si="12">T96+AD96+AN96+AX96+BH96+BR96+CB96+CL96+CV96+DF96+DP96+DZ96</f>
        <v>-4.1938799999999998E-2</v>
      </c>
      <c r="EL96" s="413"/>
      <c r="EM96" s="413">
        <f t="shared" ref="EM96:EM99" si="13">IFERROR(+EN96/EE96*10,0)</f>
        <v>5.4209338646798937</v>
      </c>
      <c r="EN96" s="807">
        <f t="shared" ref="EN96:EN99" si="14">+EG96+EI96+EK96+EL96</f>
        <v>7.8217299500000008</v>
      </c>
      <c r="EO96" s="809">
        <f t="shared" ref="EO96:EO99" si="15">+EN96/EE96*10</f>
        <v>5.4209338646798937</v>
      </c>
      <c r="EP96" s="413">
        <f t="shared" ref="EP96:EP99" si="16">+EN96/M96*10</f>
        <v>5.5989814756041039</v>
      </c>
      <c r="EQ96" s="434"/>
      <c r="ER96" s="434"/>
      <c r="ES96" s="434"/>
      <c r="ET96" s="434"/>
      <c r="EU96" s="434"/>
      <c r="EV96" s="434"/>
      <c r="EW96" s="434"/>
      <c r="EX96" s="434"/>
      <c r="EY96" s="434"/>
      <c r="EZ96" s="434"/>
      <c r="FA96" s="434"/>
      <c r="FB96" s="434"/>
      <c r="FC96" s="399"/>
      <c r="FD96" s="399"/>
      <c r="FE96" s="399"/>
      <c r="FF96" s="399"/>
      <c r="FG96" s="415"/>
      <c r="FH96" s="415"/>
      <c r="FI96" s="415"/>
      <c r="FJ96" s="415"/>
      <c r="FK96" s="415"/>
      <c r="FL96" s="415"/>
      <c r="FM96" s="415"/>
    </row>
    <row r="97" spans="1:169">
      <c r="A97" s="410" t="s">
        <v>17</v>
      </c>
      <c r="B97" s="416" t="str">
        <f>+F1_PP_Annual!B229</f>
        <v>IEX Purchase</v>
      </c>
      <c r="C97" s="412"/>
      <c r="D97" s="412"/>
      <c r="E97" s="412"/>
      <c r="F97" s="412"/>
      <c r="G97" s="412"/>
      <c r="H97" s="412"/>
      <c r="I97" s="412"/>
      <c r="J97" s="804">
        <f>+F1_PP_Annual!J229</f>
        <v>4.457829946682299</v>
      </c>
      <c r="K97" s="800">
        <v>0</v>
      </c>
      <c r="L97" s="805">
        <f>+'Energy Balance'!$I$17</f>
        <v>3.1800000000000057E-2</v>
      </c>
      <c r="M97" s="413">
        <f t="shared" ref="M97:M99" si="17">+J97*(1-L97)</f>
        <v>4.3160709543778015</v>
      </c>
      <c r="N97" s="413">
        <f>+[3]Data!D84</f>
        <v>0</v>
      </c>
      <c r="O97" s="413"/>
      <c r="P97" s="413"/>
      <c r="Q97" s="413">
        <f>IFERROR(+R97/N97*10,0)</f>
        <v>0</v>
      </c>
      <c r="R97" s="413">
        <f>+[3]Data!D100</f>
        <v>0</v>
      </c>
      <c r="S97" s="413">
        <f>IFERROR(+T97/N97*10,0)</f>
        <v>0</v>
      </c>
      <c r="T97" s="413">
        <f>+[3]Data!D116+[3]Data!D120</f>
        <v>0</v>
      </c>
      <c r="U97" s="413"/>
      <c r="V97" s="413">
        <f t="shared" ref="V97:V99" si="18">IFERROR(+W97/N97*10,0)</f>
        <v>0</v>
      </c>
      <c r="W97" s="807">
        <f t="shared" ref="W97:W100" si="19">+P97+R97+T97+U97</f>
        <v>0</v>
      </c>
      <c r="X97" s="413">
        <f>+[3]Data!E84</f>
        <v>9.7872011499999995E-2</v>
      </c>
      <c r="Y97" s="413"/>
      <c r="Z97" s="413"/>
      <c r="AA97" s="413">
        <f>IFERROR(+AB97/X97*10,0)</f>
        <v>5.6746102536167866</v>
      </c>
      <c r="AB97" s="413">
        <f>+[3]Data!E100</f>
        <v>5.5538552000000005E-2</v>
      </c>
      <c r="AC97" s="413">
        <f>IFERROR(+AD97/X97*10,0)</f>
        <v>6.0282811291765478E-2</v>
      </c>
      <c r="AD97" s="413">
        <f>+[3]Data!E116-[3]Data!E108+[3]Data!E124</f>
        <v>5.9000000000000003E-4</v>
      </c>
      <c r="AE97" s="413"/>
      <c r="AF97" s="413">
        <f t="shared" ref="AF97:AF99" si="20">IFERROR(+AG97/X97*10,0)</f>
        <v>5.7348930649085528</v>
      </c>
      <c r="AG97" s="807">
        <f t="shared" ref="AG97:AG99" si="21">+Z97+AB97+AD97+AE97</f>
        <v>5.6128552000000005E-2</v>
      </c>
      <c r="AH97" s="413">
        <v>8.9909000000000003E-2</v>
      </c>
      <c r="AI97" s="413"/>
      <c r="AJ97" s="413"/>
      <c r="AK97" s="413">
        <f>IFERROR(+AL97/AH97*10,0)</f>
        <v>6.5350191860659104</v>
      </c>
      <c r="AL97" s="413">
        <f>+[3]Data!F100-AL98</f>
        <v>5.8755703999999992E-2</v>
      </c>
      <c r="AM97" s="413">
        <f>IFERROR(+AN97/AH97*10,0)</f>
        <v>6.56219065944455E-2</v>
      </c>
      <c r="AN97" s="413">
        <f>+[3]Data!F116-[3]Data!F108+[3]Data!F124</f>
        <v>5.9000000000000003E-4</v>
      </c>
      <c r="AO97" s="413"/>
      <c r="AP97" s="413">
        <f t="shared" ref="AP97:AP99" si="22">IFERROR(+AQ97/AH97*10,0)</f>
        <v>6.6006410926603554</v>
      </c>
      <c r="AQ97" s="807">
        <f t="shared" ref="AQ97:AQ99" si="23">+AJ97+AL97+AN97+AO97</f>
        <v>5.9345703999999992E-2</v>
      </c>
      <c r="AR97" s="413">
        <f>+[3]Data!G84</f>
        <v>0.12397</v>
      </c>
      <c r="AS97" s="413"/>
      <c r="AT97" s="413"/>
      <c r="AU97" s="413">
        <f>IFERROR(+AV97/AR97*10,0)</f>
        <v>6.1476507219488585</v>
      </c>
      <c r="AV97" s="413">
        <f>+[3]Data!G100</f>
        <v>7.6212426E-2</v>
      </c>
      <c r="AW97" s="413">
        <f>IFERROR(+AX97/AR97*10,0)</f>
        <v>4.759215939340164E-2</v>
      </c>
      <c r="AX97" s="413">
        <f>+[3]Data!G116-[3]Data!G108+[3]Data!G124</f>
        <v>5.9000000000000003E-4</v>
      </c>
      <c r="AY97" s="413"/>
      <c r="AZ97" s="413">
        <f t="shared" ref="AZ97:AZ99" si="24">IFERROR(+BA97/AR97*10,0)</f>
        <v>6.19524288134226</v>
      </c>
      <c r="BA97" s="807">
        <f t="shared" ref="BA97:BA99" si="25">+AT97+AV97+AX97+AY97</f>
        <v>7.6802425999999993E-2</v>
      </c>
      <c r="BB97" s="413">
        <f>+[3]Data!H84</f>
        <v>0.113415</v>
      </c>
      <c r="BC97" s="413"/>
      <c r="BD97" s="413"/>
      <c r="BE97" s="413">
        <f>IFERROR(+BF97/BB97*10,0)</f>
        <v>4.7098597187320896</v>
      </c>
      <c r="BF97" s="413">
        <f>+[3]Data!H100</f>
        <v>5.3416873999999996E-2</v>
      </c>
      <c r="BG97" s="413">
        <f>IFERROR(+BH97/BB97*10,0)</f>
        <v>5.2021337565577752E-2</v>
      </c>
      <c r="BH97" s="413">
        <f>+[3]Data!H116+[3]Data!H124-[3]Data!H108</f>
        <v>5.9000000000000003E-4</v>
      </c>
      <c r="BI97" s="413"/>
      <c r="BJ97" s="413">
        <f t="shared" ref="BJ97:BJ99" si="26">IFERROR(+BK97/BB97*10,0)</f>
        <v>4.7618810562976677</v>
      </c>
      <c r="BK97" s="807">
        <f t="shared" ref="BK97:BK99" si="27">+BD97+BF97+BH97+BI97</f>
        <v>5.4006873999999996E-2</v>
      </c>
      <c r="BL97" s="413">
        <f>+[3]Data!I84</f>
        <v>1.1455999999999999E-2</v>
      </c>
      <c r="BM97" s="413"/>
      <c r="BN97" s="413"/>
      <c r="BO97" s="413">
        <f>IFERROR(+BP97/BL97*10,0)</f>
        <v>5.7964856843575419</v>
      </c>
      <c r="BP97" s="413">
        <f>+[3]Data!I100</f>
        <v>6.6404539999999996E-3</v>
      </c>
      <c r="BQ97" s="413">
        <f>IFERROR(+BR97/BL97*10,0)</f>
        <v>0.51501396648044695</v>
      </c>
      <c r="BR97" s="413">
        <f>+[3]Data!I116-[3]Data!I108+[3]Data!I124</f>
        <v>5.9000000000000003E-4</v>
      </c>
      <c r="BS97" s="413"/>
      <c r="BT97" s="413">
        <f t="shared" ref="BT97:BT99" si="28">IFERROR(+BU97/BL97*10,0)</f>
        <v>6.3114996508379893</v>
      </c>
      <c r="BU97" s="807">
        <f t="shared" ref="BU97:BU99" si="29">+BN97+BP97+BR97+BS97</f>
        <v>7.2304539999999999E-3</v>
      </c>
      <c r="BV97" s="413">
        <f>+[3]Data!J84</f>
        <v>4.4999999999999999E-4</v>
      </c>
      <c r="BW97" s="413"/>
      <c r="BX97" s="413"/>
      <c r="BY97" s="413">
        <f>IFERROR(+BZ97/BV97*10,0)</f>
        <v>17.640955555555557</v>
      </c>
      <c r="BZ97" s="413">
        <f>+[3]Data!J100</f>
        <v>7.9384300000000002E-4</v>
      </c>
      <c r="CA97" s="413">
        <f>IFERROR(+CB97/BV97*10,0)</f>
        <v>13.111111111111111</v>
      </c>
      <c r="CB97" s="413">
        <f>+[3]Data!J116-[3]Data!J108+[3]Data!J124</f>
        <v>5.9000000000000003E-4</v>
      </c>
      <c r="CC97" s="413"/>
      <c r="CD97" s="413">
        <f t="shared" si="0"/>
        <v>30.752066666666668</v>
      </c>
      <c r="CE97" s="807">
        <f t="shared" si="1"/>
        <v>1.3838430000000001E-3</v>
      </c>
      <c r="CF97" s="413">
        <f>+[3]Data!K84</f>
        <v>3.5892584176822999</v>
      </c>
      <c r="CG97" s="413"/>
      <c r="CH97" s="413"/>
      <c r="CI97" s="413">
        <f>IFERROR(+CJ97/CF97*10,0)</f>
        <v>5.5528182094143475</v>
      </c>
      <c r="CJ97" s="413">
        <f>+[3]Data!K100</f>
        <v>1.9930499500000001</v>
      </c>
      <c r="CK97" s="413">
        <f>IFERROR(+CL97/CF97*10,0)</f>
        <v>1.643793595616841E-3</v>
      </c>
      <c r="CL97" s="413">
        <f>+[3]Data!K116-[3]Data!K109+[3]Data!K124</f>
        <v>5.9000000000000003E-4</v>
      </c>
      <c r="CM97" s="413"/>
      <c r="CN97" s="413">
        <f t="shared" ref="CN97:CN99" si="30">IFERROR(+CO97/CF97*10,0)</f>
        <v>5.5544620030099647</v>
      </c>
      <c r="CO97" s="807">
        <f t="shared" ref="CO97:CO99" si="31">+CH97+CJ97+CL97+CM97</f>
        <v>1.9936399500000002</v>
      </c>
      <c r="CP97" s="413">
        <f>+[3]Data!L84</f>
        <v>5.0996E-2</v>
      </c>
      <c r="CQ97" s="413"/>
      <c r="CR97" s="413"/>
      <c r="CS97" s="413">
        <f>IFERROR(+CT97/CP97*10,0)</f>
        <v>5.77081849556828</v>
      </c>
      <c r="CT97" s="413">
        <f>+[3]Data!L100</f>
        <v>2.9428865999999998E-2</v>
      </c>
      <c r="CU97" s="413">
        <f>IFERROR(+CV97/CP97*10,0)</f>
        <v>0.11569534865479646</v>
      </c>
      <c r="CV97" s="413">
        <f>+[3]Data!L116-[3]Data!L108+[3]Data!L124</f>
        <v>5.9000000000000003E-4</v>
      </c>
      <c r="CW97" s="413"/>
      <c r="CX97" s="413">
        <f t="shared" si="2"/>
        <v>5.8865138442230762</v>
      </c>
      <c r="CY97" s="807">
        <f t="shared" si="3"/>
        <v>3.0018865999999998E-2</v>
      </c>
      <c r="CZ97" s="413">
        <f>+[3]Data!M84</f>
        <v>0</v>
      </c>
      <c r="DA97" s="413"/>
      <c r="DB97" s="413"/>
      <c r="DC97" s="413">
        <f>IFERROR(+DD97/CZ97*10,0)</f>
        <v>0</v>
      </c>
      <c r="DD97" s="413">
        <f>+[3]Data!M100</f>
        <v>0</v>
      </c>
      <c r="DE97" s="413">
        <f>IFERROR(+DF97/CZ97*10,0)</f>
        <v>0</v>
      </c>
      <c r="DF97" s="413">
        <f>+[3]Data!M116-[3]Data!M108+[3]Data!M124</f>
        <v>5.9000000000000003E-4</v>
      </c>
      <c r="DG97" s="413"/>
      <c r="DH97" s="413">
        <f t="shared" si="4"/>
        <v>0</v>
      </c>
      <c r="DI97" s="807">
        <f t="shared" si="5"/>
        <v>5.9000000000000003E-4</v>
      </c>
      <c r="DJ97" s="413">
        <f>+[3]Data!N84</f>
        <v>9.0939000000000006E-2</v>
      </c>
      <c r="DK97" s="413"/>
      <c r="DL97" s="413"/>
      <c r="DM97" s="413">
        <f>IFERROR(+DN97/DJ97*10,0)</f>
        <v>5.1474144206556041</v>
      </c>
      <c r="DN97" s="413">
        <f>+[3]Data!N100</f>
        <v>4.6810071999999994E-2</v>
      </c>
      <c r="DO97" s="413">
        <f>IFERROR(+DP97/DJ97*10,0)</f>
        <v>6.487865492253049E-2</v>
      </c>
      <c r="DP97" s="413">
        <f>+[3]Data!N116-[3]Data!N108+[3]Data!N124</f>
        <v>5.9000000000000003E-4</v>
      </c>
      <c r="DQ97" s="413"/>
      <c r="DR97" s="413">
        <f t="shared" si="6"/>
        <v>5.2122930755781338</v>
      </c>
      <c r="DS97" s="807">
        <f t="shared" si="7"/>
        <v>4.7400071999999994E-2</v>
      </c>
      <c r="DT97" s="413">
        <f>+[3]Data!O84</f>
        <v>0.28956451750000001</v>
      </c>
      <c r="DU97" s="413"/>
      <c r="DV97" s="413"/>
      <c r="DW97" s="413">
        <f>IFERROR(+DX97/DT97*10,0)</f>
        <v>4.9889694617020881</v>
      </c>
      <c r="DX97" s="413">
        <f>+[3]Data!O100</f>
        <v>0.14446285349999999</v>
      </c>
      <c r="DY97" s="413">
        <f>IFERROR(+DZ97/DT97*10,0)</f>
        <v>2.0375424623633315E-2</v>
      </c>
      <c r="DZ97" s="413">
        <f>+[3]Data!O116-[3]Data!O108+[3]Data!O124</f>
        <v>5.9000000000000003E-4</v>
      </c>
      <c r="EA97" s="413"/>
      <c r="EB97" s="413">
        <f t="shared" si="8"/>
        <v>5.0093448863257217</v>
      </c>
      <c r="EC97" s="807">
        <f t="shared" si="9"/>
        <v>0.1450528535</v>
      </c>
      <c r="ED97" s="413"/>
      <c r="EE97" s="413">
        <f t="shared" si="10"/>
        <v>4.457829946682299</v>
      </c>
      <c r="EF97" s="413"/>
      <c r="EG97" s="413"/>
      <c r="EH97" s="413">
        <f>IFERROR(+EI97/EE97*10,0)</f>
        <v>5.5298421518627823</v>
      </c>
      <c r="EI97" s="413">
        <f t="shared" si="11"/>
        <v>2.4651095944999999</v>
      </c>
      <c r="EJ97" s="413">
        <f>IFERROR(+EK97/EE97*10,0)</f>
        <v>1.4558653151025036E-2</v>
      </c>
      <c r="EK97" s="413">
        <f t="shared" si="12"/>
        <v>6.4900000000000018E-3</v>
      </c>
      <c r="EL97" s="413"/>
      <c r="EM97" s="413">
        <f t="shared" si="13"/>
        <v>5.5444008050138072</v>
      </c>
      <c r="EN97" s="807">
        <f t="shared" si="14"/>
        <v>2.4715995944999998</v>
      </c>
      <c r="EO97" s="809">
        <f t="shared" si="15"/>
        <v>5.5444008050138072</v>
      </c>
      <c r="EP97" s="413">
        <f t="shared" si="16"/>
        <v>5.7265036201340713</v>
      </c>
      <c r="EQ97" s="434"/>
      <c r="ER97" s="434"/>
      <c r="ES97" s="434"/>
      <c r="ET97" s="434"/>
      <c r="EU97" s="434"/>
      <c r="EV97" s="434"/>
      <c r="EW97" s="434"/>
      <c r="EX97" s="434"/>
      <c r="EY97" s="434"/>
      <c r="EZ97" s="434"/>
      <c r="FA97" s="434"/>
      <c r="FB97" s="434"/>
      <c r="FC97" s="399"/>
      <c r="FD97" s="399"/>
      <c r="FE97" s="399"/>
      <c r="FF97" s="399"/>
      <c r="FG97" s="415"/>
      <c r="FH97" s="415"/>
      <c r="FI97" s="415"/>
      <c r="FJ97" s="415"/>
      <c r="FK97" s="415"/>
      <c r="FL97" s="415"/>
      <c r="FM97" s="415"/>
    </row>
    <row r="98" spans="1:169">
      <c r="A98" s="410" t="s">
        <v>20</v>
      </c>
      <c r="B98" s="416" t="str">
        <f>+F1_PP_Annual!B230</f>
        <v>IEX sale</v>
      </c>
      <c r="C98" s="412"/>
      <c r="D98" s="412"/>
      <c r="E98" s="412"/>
      <c r="F98" s="412"/>
      <c r="G98" s="412"/>
      <c r="H98" s="412"/>
      <c r="I98" s="412"/>
      <c r="J98" s="804">
        <f>+F1_PP_Annual!J230</f>
        <v>-5.98961665E-2</v>
      </c>
      <c r="K98" s="800">
        <v>0</v>
      </c>
      <c r="L98" s="805">
        <f>+'Energy Balance'!$I$17</f>
        <v>3.1800000000000057E-2</v>
      </c>
      <c r="M98" s="413">
        <f t="shared" si="17"/>
        <v>-5.7991468405299999E-2</v>
      </c>
      <c r="N98" s="413"/>
      <c r="O98" s="413"/>
      <c r="P98" s="413"/>
      <c r="Q98" s="413"/>
      <c r="R98" s="413"/>
      <c r="S98" s="413"/>
      <c r="T98" s="413"/>
      <c r="U98" s="413"/>
      <c r="V98" s="413"/>
      <c r="W98" s="807"/>
      <c r="X98" s="413"/>
      <c r="Y98" s="413"/>
      <c r="Z98" s="413"/>
      <c r="AA98" s="413"/>
      <c r="AB98" s="413"/>
      <c r="AC98" s="413"/>
      <c r="AD98" s="413"/>
      <c r="AE98" s="413"/>
      <c r="AF98" s="413"/>
      <c r="AG98" s="807"/>
      <c r="AH98" s="413">
        <f>-59896.1665/10^6</f>
        <v>-5.98961665E-2</v>
      </c>
      <c r="AI98" s="413"/>
      <c r="AJ98" s="413"/>
      <c r="AK98" s="413">
        <f>IFERROR(+AL98/AH98*10,0)</f>
        <v>8.857254328622183</v>
      </c>
      <c r="AL98" s="413">
        <f>+'[3]True-up'!J49</f>
        <v>-5.3051557999999999E-2</v>
      </c>
      <c r="AM98" s="413"/>
      <c r="AN98" s="413"/>
      <c r="AO98" s="413"/>
      <c r="AP98" s="413">
        <f t="shared" ref="AP98" si="32">IFERROR(+AQ98/AH98*10,0)</f>
        <v>8.857254328622183</v>
      </c>
      <c r="AQ98" s="807">
        <f t="shared" ref="AQ98" si="33">+AJ98+AL98+AN98+AO98</f>
        <v>-5.3051557999999999E-2</v>
      </c>
      <c r="AR98" s="413"/>
      <c r="AS98" s="413"/>
      <c r="AT98" s="413"/>
      <c r="AU98" s="413"/>
      <c r="AV98" s="413"/>
      <c r="AW98" s="413"/>
      <c r="AX98" s="413"/>
      <c r="AY98" s="413"/>
      <c r="AZ98" s="413"/>
      <c r="BA98" s="807"/>
      <c r="BB98" s="413"/>
      <c r="BC98" s="413"/>
      <c r="BD98" s="413"/>
      <c r="BE98" s="413"/>
      <c r="BF98" s="413"/>
      <c r="BG98" s="413"/>
      <c r="BH98" s="413"/>
      <c r="BI98" s="413"/>
      <c r="BJ98" s="413"/>
      <c r="BK98" s="807"/>
      <c r="BL98" s="413"/>
      <c r="BM98" s="413"/>
      <c r="BN98" s="413"/>
      <c r="BO98" s="413"/>
      <c r="BP98" s="413"/>
      <c r="BQ98" s="413"/>
      <c r="BR98" s="413"/>
      <c r="BS98" s="413"/>
      <c r="BT98" s="413"/>
      <c r="BU98" s="807"/>
      <c r="BV98" s="413"/>
      <c r="BW98" s="413"/>
      <c r="BX98" s="413"/>
      <c r="BY98" s="413"/>
      <c r="BZ98" s="413"/>
      <c r="CA98" s="413"/>
      <c r="CB98" s="413"/>
      <c r="CC98" s="413"/>
      <c r="CD98" s="413"/>
      <c r="CE98" s="807"/>
      <c r="CF98" s="413"/>
      <c r="CG98" s="413"/>
      <c r="CH98" s="413"/>
      <c r="CI98" s="413"/>
      <c r="CJ98" s="413"/>
      <c r="CK98" s="413"/>
      <c r="CL98" s="413"/>
      <c r="CM98" s="413"/>
      <c r="CN98" s="413"/>
      <c r="CO98" s="807"/>
      <c r="CP98" s="413"/>
      <c r="CQ98" s="413"/>
      <c r="CR98" s="413"/>
      <c r="CS98" s="413"/>
      <c r="CT98" s="413"/>
      <c r="CU98" s="413"/>
      <c r="CV98" s="413"/>
      <c r="CW98" s="413"/>
      <c r="CX98" s="413"/>
      <c r="CY98" s="807"/>
      <c r="CZ98" s="413"/>
      <c r="DA98" s="413"/>
      <c r="DB98" s="413"/>
      <c r="DC98" s="413"/>
      <c r="DD98" s="413"/>
      <c r="DE98" s="413"/>
      <c r="DF98" s="413"/>
      <c r="DG98" s="413"/>
      <c r="DH98" s="413"/>
      <c r="DI98" s="807"/>
      <c r="DJ98" s="413"/>
      <c r="DK98" s="413"/>
      <c r="DL98" s="413"/>
      <c r="DM98" s="413"/>
      <c r="DN98" s="413"/>
      <c r="DO98" s="413"/>
      <c r="DP98" s="413"/>
      <c r="DQ98" s="413"/>
      <c r="DR98" s="413"/>
      <c r="DS98" s="807"/>
      <c r="DT98" s="413"/>
      <c r="DU98" s="413"/>
      <c r="DV98" s="413"/>
      <c r="DW98" s="413"/>
      <c r="DX98" s="413"/>
      <c r="DY98" s="413"/>
      <c r="DZ98" s="413"/>
      <c r="EA98" s="413"/>
      <c r="EB98" s="413"/>
      <c r="EC98" s="807"/>
      <c r="ED98" s="413"/>
      <c r="EE98" s="413">
        <f t="shared" ref="EE98" si="34">N98+X98+AH98+AR98+BB98+BL98+BV98+CF98+CP98+CZ98+DJ98+DT98</f>
        <v>-5.98961665E-2</v>
      </c>
      <c r="EF98" s="413"/>
      <c r="EG98" s="413"/>
      <c r="EH98" s="413">
        <f>IFERROR(+EI98/EE98*10,0)</f>
        <v>8.857254328622183</v>
      </c>
      <c r="EI98" s="413">
        <f t="shared" ref="EI98" si="35">R98+AB98+AL98+AV98+BF98+BP98+BZ98+CJ98+CT98+DD98+DN98+DX98</f>
        <v>-5.3051557999999999E-2</v>
      </c>
      <c r="EJ98" s="413">
        <f>IFERROR(+EK98/EE98*10,0)</f>
        <v>0</v>
      </c>
      <c r="EK98" s="413">
        <f t="shared" ref="EK98" si="36">T98+AD98+AN98+AX98+BH98+BR98+CB98+CL98+CV98+DF98+DP98+DZ98</f>
        <v>0</v>
      </c>
      <c r="EL98" s="413"/>
      <c r="EM98" s="413">
        <f t="shared" ref="EM98" si="37">IFERROR(+EN98/EE98*10,0)</f>
        <v>8.857254328622183</v>
      </c>
      <c r="EN98" s="807">
        <f t="shared" ref="EN98" si="38">+EG98+EI98+EK98+EL98</f>
        <v>-5.3051557999999999E-2</v>
      </c>
      <c r="EO98" s="809">
        <f t="shared" ref="EO98" si="39">+EN98/EE98*10</f>
        <v>8.857254328622183</v>
      </c>
      <c r="EP98" s="413">
        <f t="shared" ref="EP98" si="40">+EN98/M98*10</f>
        <v>9.1481660076659601</v>
      </c>
      <c r="EQ98" s="434"/>
      <c r="ER98" s="434"/>
      <c r="ES98" s="434"/>
      <c r="ET98" s="434"/>
      <c r="EU98" s="434"/>
      <c r="EV98" s="434"/>
      <c r="EW98" s="434"/>
      <c r="EX98" s="434"/>
      <c r="EY98" s="434"/>
      <c r="EZ98" s="434"/>
      <c r="FA98" s="434"/>
      <c r="FB98" s="434"/>
      <c r="FC98" s="399"/>
      <c r="FD98" s="399"/>
      <c r="FE98" s="399"/>
      <c r="FF98" s="399"/>
      <c r="FG98" s="415"/>
      <c r="FH98" s="415"/>
      <c r="FI98" s="415"/>
      <c r="FJ98" s="415"/>
      <c r="FK98" s="415"/>
      <c r="FL98" s="415"/>
      <c r="FM98" s="415"/>
    </row>
    <row r="99" spans="1:169">
      <c r="A99" s="410" t="s">
        <v>22</v>
      </c>
      <c r="B99" s="412" t="str">
        <f>+F1_PP_Annual!B225</f>
        <v>UI Charges</v>
      </c>
      <c r="C99" s="412"/>
      <c r="D99" s="412"/>
      <c r="E99" s="412"/>
      <c r="F99" s="412"/>
      <c r="G99" s="412"/>
      <c r="H99" s="412"/>
      <c r="I99" s="412"/>
      <c r="J99" s="804">
        <f>+F1_PP_Annual!J225</f>
        <v>-0.13626141290276839</v>
      </c>
      <c r="K99" s="806">
        <v>0</v>
      </c>
      <c r="L99" s="805">
        <f>+'Energy Balance'!$I$17</f>
        <v>3.1800000000000057E-2</v>
      </c>
      <c r="M99" s="413">
        <f t="shared" si="17"/>
        <v>-0.13192829997246033</v>
      </c>
      <c r="N99" s="413">
        <f>+[3]Data!D85</f>
        <v>-1.4223467775252852E-2</v>
      </c>
      <c r="O99" s="413"/>
      <c r="P99" s="413"/>
      <c r="Q99" s="413">
        <f>IFERROR(+R99/N99*10,0)</f>
        <v>-13.472200522955349</v>
      </c>
      <c r="R99" s="413">
        <f>+[3]Data!D101</f>
        <v>1.9162141000000001E-2</v>
      </c>
      <c r="S99" s="413">
        <f>IFERROR(+T99/N99*10,0)</f>
        <v>-13.900899775229753</v>
      </c>
      <c r="T99" s="413">
        <f>+[3]Data!D117+[3]Data!D121</f>
        <v>1.9771900000000002E-2</v>
      </c>
      <c r="U99" s="413"/>
      <c r="V99" s="413">
        <f t="shared" si="18"/>
        <v>-27.373100298185101</v>
      </c>
      <c r="W99" s="807">
        <f t="shared" si="19"/>
        <v>3.8934041000000003E-2</v>
      </c>
      <c r="X99" s="413">
        <f>+[3]Data!E85</f>
        <v>6.9512260344671173E-2</v>
      </c>
      <c r="Y99" s="413"/>
      <c r="Z99" s="413"/>
      <c r="AA99" s="413">
        <f>IFERROR(+AB99/X99*10,0)</f>
        <v>7.3007779848278753</v>
      </c>
      <c r="AB99" s="413">
        <f>+[3]Data!E101</f>
        <v>5.0749357999999904E-2</v>
      </c>
      <c r="AC99" s="413">
        <f>IFERROR(+AD99/X99*10,0)</f>
        <v>1.7651562385052871E-2</v>
      </c>
      <c r="AD99" s="413">
        <f>+[3]Data!E117-[3]Data!E109+[3]Data!E125</f>
        <v>1.227E-4</v>
      </c>
      <c r="AE99" s="413"/>
      <c r="AF99" s="413">
        <f t="shared" si="20"/>
        <v>7.3184295472129293</v>
      </c>
      <c r="AG99" s="807">
        <f t="shared" si="21"/>
        <v>5.0872057999999908E-2</v>
      </c>
      <c r="AH99" s="413">
        <f>+[3]Data!F85</f>
        <v>7.0025522133843054E-4</v>
      </c>
      <c r="AI99" s="413"/>
      <c r="AJ99" s="413"/>
      <c r="AK99" s="413">
        <f>IFERROR(+AL99/AH99*10,0)</f>
        <v>148.83567708469747</v>
      </c>
      <c r="AL99" s="413">
        <f>+[3]Data!F101</f>
        <v>1.0422296000000001E-2</v>
      </c>
      <c r="AM99" s="413">
        <f>IFERROR(+AN99/AH99*10,0)</f>
        <v>8.9481660529763722</v>
      </c>
      <c r="AN99" s="413">
        <f>+[3]Data!F117-[3]Data!F109+[3]Data!F125</f>
        <v>6.2660000000000005E-4</v>
      </c>
      <c r="AO99" s="413"/>
      <c r="AP99" s="413">
        <f t="shared" si="22"/>
        <v>157.78384313767384</v>
      </c>
      <c r="AQ99" s="807">
        <f t="shared" si="23"/>
        <v>1.1048896000000001E-2</v>
      </c>
      <c r="AR99" s="413">
        <f>+[3]Data!G85</f>
        <v>5.326054327618257E-2</v>
      </c>
      <c r="AS99" s="413"/>
      <c r="AT99" s="413"/>
      <c r="AU99" s="413">
        <f>IFERROR(+AV99/AR99*10,0)</f>
        <v>9.0411554291323775</v>
      </c>
      <c r="AV99" s="413">
        <f>+[3]Data!G101</f>
        <v>4.81536849999998E-2</v>
      </c>
      <c r="AW99" s="413">
        <f>IFERROR(+AX99/AR99*10,0)</f>
        <v>7.6022506548682922E-2</v>
      </c>
      <c r="AX99" s="413">
        <f>+[3]Data!G117-[3]Data!G109+[3]Data!G125</f>
        <v>4.0489999999999998E-4</v>
      </c>
      <c r="AY99" s="413"/>
      <c r="AZ99" s="413">
        <f t="shared" si="24"/>
        <v>9.1171779356810614</v>
      </c>
      <c r="BA99" s="807">
        <f t="shared" si="25"/>
        <v>4.85585849999998E-2</v>
      </c>
      <c r="BB99" s="413">
        <f>+[3]Data!H85</f>
        <v>3.5658520450330577E-2</v>
      </c>
      <c r="BC99" s="413"/>
      <c r="BD99" s="413"/>
      <c r="BE99" s="413">
        <f>IFERROR(+BF99/BB99*10,0)</f>
        <v>4.4256508124003497</v>
      </c>
      <c r="BF99" s="413">
        <f>+[3]Data!H101</f>
        <v>1.5781216000000001E-2</v>
      </c>
      <c r="BG99" s="413">
        <f>IFERROR(+BH99/BB99*10,0)</f>
        <v>4.4982236496162023E-2</v>
      </c>
      <c r="BH99" s="413">
        <f>+[3]Data!H117+[3]Data!H125-[3]Data!H109</f>
        <v>1.604E-4</v>
      </c>
      <c r="BI99" s="413"/>
      <c r="BJ99" s="413">
        <f t="shared" si="26"/>
        <v>4.470633048896512</v>
      </c>
      <c r="BK99" s="807">
        <f t="shared" si="27"/>
        <v>1.5941616000000002E-2</v>
      </c>
      <c r="BL99" s="413">
        <f>+[3]Data!I85</f>
        <v>5.1833128279281659E-2</v>
      </c>
      <c r="BM99" s="413"/>
      <c r="BN99" s="413"/>
      <c r="BO99" s="413">
        <f>IFERROR(+BP99/BL99*10,0)</f>
        <v>7.3565089096197696</v>
      </c>
      <c r="BP99" s="413">
        <f>+[3]Data!I101</f>
        <v>3.8131087000000001E-2</v>
      </c>
      <c r="BQ99" s="413">
        <f>IFERROR(+BR99/BL99*10,0)</f>
        <v>-3.8257386073929658E-2</v>
      </c>
      <c r="BR99" s="413">
        <f>+[3]Data!I117-[3]Data!I109+[3]Data!I125</f>
        <v>-1.983E-4</v>
      </c>
      <c r="BS99" s="413"/>
      <c r="BT99" s="413">
        <f t="shared" si="28"/>
        <v>7.3182515235458414</v>
      </c>
      <c r="BU99" s="807">
        <f t="shared" si="29"/>
        <v>3.7932787000000003E-2</v>
      </c>
      <c r="BV99" s="413">
        <f>+[3]Data!J85</f>
        <v>8.4912677649246593E-2</v>
      </c>
      <c r="BW99" s="413"/>
      <c r="BX99" s="413"/>
      <c r="BY99" s="413">
        <f>IFERROR(+BZ99/BV99*10,0)</f>
        <v>4.7132292971984739</v>
      </c>
      <c r="BZ99" s="413">
        <f>+[3]Data!J101</f>
        <v>4.0021291999999903E-2</v>
      </c>
      <c r="CA99" s="413">
        <f>IFERROR(+CB99/BV99*10,0)</f>
        <v>-0.11849820637577406</v>
      </c>
      <c r="CB99" s="413">
        <f>+[3]Data!J117-[3]Data!J109+[3]Data!J125</f>
        <v>-1.0062000000000001E-3</v>
      </c>
      <c r="CC99" s="413"/>
      <c r="CD99" s="413">
        <f t="shared" si="0"/>
        <v>4.5947310908226999</v>
      </c>
      <c r="CE99" s="807">
        <f t="shared" si="1"/>
        <v>3.9015091999999904E-2</v>
      </c>
      <c r="CF99" s="413">
        <f>+[3]Data!K85</f>
        <v>-7.4485478206974154E-2</v>
      </c>
      <c r="CG99" s="413"/>
      <c r="CH99" s="413"/>
      <c r="CI99" s="413">
        <f>IFERROR(+CJ99/CF99*10,0)</f>
        <v>2.6160585216160319</v>
      </c>
      <c r="CJ99" s="413">
        <f>+[3]Data!K101</f>
        <v>-1.9485836999999999E-2</v>
      </c>
      <c r="CK99" s="413">
        <f>IFERROR(+CL99/CF99*10,0)</f>
        <v>0.44185794053099625</v>
      </c>
      <c r="CL99" s="413">
        <f>+[3]Data!K117-[3]Data!K110+[3]Data!K125</f>
        <v>-3.2912000000000002E-3</v>
      </c>
      <c r="CM99" s="413"/>
      <c r="CN99" s="413">
        <f t="shared" si="30"/>
        <v>3.0579164621470283</v>
      </c>
      <c r="CO99" s="807">
        <f t="shared" si="31"/>
        <v>-2.2777037E-2</v>
      </c>
      <c r="CP99" s="413">
        <f>+[3]Data!L85</f>
        <v>-0.19067065399710792</v>
      </c>
      <c r="CQ99" s="413"/>
      <c r="CR99" s="413"/>
      <c r="CS99" s="413">
        <f>IFERROR(+CT99/CP99*10,0)</f>
        <v>2.5055465536256372</v>
      </c>
      <c r="CT99" s="413">
        <f>+[3]Data!L101</f>
        <v>-4.7773420000000004E-2</v>
      </c>
      <c r="CU99" s="413">
        <f>IFERROR(+CV99/CP99*10,0)</f>
        <v>0.16526402642159058</v>
      </c>
      <c r="CV99" s="413">
        <f>+[3]Data!L117-[3]Data!L109+[3]Data!L125</f>
        <v>-3.1511E-3</v>
      </c>
      <c r="CW99" s="413"/>
      <c r="CX99" s="413">
        <f t="shared" si="2"/>
        <v>2.6708105800472275</v>
      </c>
      <c r="CY99" s="807">
        <f t="shared" si="3"/>
        <v>-5.0924520000000001E-2</v>
      </c>
      <c r="CZ99" s="413">
        <f>+[3]Data!M85</f>
        <v>-0.22233840115677506</v>
      </c>
      <c r="DA99" s="413"/>
      <c r="DB99" s="413"/>
      <c r="DC99" s="413">
        <f>IFERROR(+DD99/CZ99*10,0)</f>
        <v>3.8463081300876807</v>
      </c>
      <c r="DD99" s="413">
        <f>+[3]Data!M101</f>
        <v>-8.5518200000000003E-2</v>
      </c>
      <c r="DE99" s="413">
        <f>IFERROR(+DF99/CZ99*10,0)</f>
        <v>0.137641540286247</v>
      </c>
      <c r="DF99" s="413">
        <f>+[3]Data!M117-[3]Data!M109+[3]Data!M125</f>
        <v>-3.0603000000000002E-3</v>
      </c>
      <c r="DG99" s="413"/>
      <c r="DH99" s="413">
        <f t="shared" si="4"/>
        <v>3.9839496703739274</v>
      </c>
      <c r="DI99" s="807">
        <f t="shared" si="5"/>
        <v>-8.8578500000000004E-2</v>
      </c>
      <c r="DJ99" s="413">
        <f>+[3]Data!N85</f>
        <v>7.984001445982436E-3</v>
      </c>
      <c r="DK99" s="413"/>
      <c r="DL99" s="413"/>
      <c r="DM99" s="413">
        <f>IFERROR(+DN99/DJ99*10,0)</f>
        <v>18.358033999825313</v>
      </c>
      <c r="DN99" s="413">
        <f>+[3]Data!N101</f>
        <v>1.4657057000000001E-2</v>
      </c>
      <c r="DO99" s="413">
        <f>IFERROR(+DP99/DJ99*10,0)</f>
        <v>-3.849197699665297</v>
      </c>
      <c r="DP99" s="413">
        <f>+[3]Data!N117-[3]Data!N109+[3]Data!N125</f>
        <v>-3.0731999999999999E-3</v>
      </c>
      <c r="DQ99" s="413"/>
      <c r="DR99" s="413">
        <f t="shared" si="6"/>
        <v>14.508836300160015</v>
      </c>
      <c r="DS99" s="807">
        <f t="shared" si="7"/>
        <v>1.1583857000000001E-2</v>
      </c>
      <c r="DT99" s="413">
        <f>+[3]Data!O85</f>
        <v>6.1595201566308155E-2</v>
      </c>
      <c r="DU99" s="413"/>
      <c r="DV99" s="413"/>
      <c r="DW99" s="413">
        <f>IFERROR(+DX99/DT99*10,0)</f>
        <v>6.2319627217514668</v>
      </c>
      <c r="DX99" s="413">
        <f>+[3]Data!O101</f>
        <v>3.8385900000000001E-2</v>
      </c>
      <c r="DY99" s="413">
        <f>IFERROR(+DZ99/DT99*10,0)</f>
        <v>-0.59855311878979811</v>
      </c>
      <c r="DZ99" s="413">
        <f>+[3]Data!O117-[3]Data!O109+[3]Data!O125</f>
        <v>-3.6868000000000001E-3</v>
      </c>
      <c r="EA99" s="413"/>
      <c r="EB99" s="413">
        <f t="shared" si="8"/>
        <v>5.6334096029616703</v>
      </c>
      <c r="EC99" s="807">
        <f t="shared" si="9"/>
        <v>3.4699100000000004E-2</v>
      </c>
      <c r="ED99" s="413"/>
      <c r="EE99" s="413">
        <f t="shared" si="10"/>
        <v>-0.13626141290276839</v>
      </c>
      <c r="EF99" s="413"/>
      <c r="EG99" s="413"/>
      <c r="EH99" s="413">
        <f>IFERROR(+EI99/EE99*10,0)</f>
        <v>-9.0037650708601298</v>
      </c>
      <c r="EI99" s="413">
        <f t="shared" si="11"/>
        <v>0.12268657499999959</v>
      </c>
      <c r="EJ99" s="413">
        <f>IFERROR(+EK99/EE99*10,0)</f>
        <v>-0.26562178704125794</v>
      </c>
      <c r="EK99" s="413">
        <f t="shared" si="12"/>
        <v>3.6194000000000057E-3</v>
      </c>
      <c r="EL99" s="413"/>
      <c r="EM99" s="413">
        <f t="shared" si="13"/>
        <v>-9.2693868579013881</v>
      </c>
      <c r="EN99" s="807">
        <f t="shared" si="14"/>
        <v>0.1263059749999996</v>
      </c>
      <c r="EO99" s="809">
        <f t="shared" si="15"/>
        <v>-9.2693868579013881</v>
      </c>
      <c r="EP99" s="809">
        <f t="shared" si="16"/>
        <v>-9.5738348046905504</v>
      </c>
      <c r="EQ99" s="434"/>
      <c r="ER99" s="434"/>
      <c r="ES99" s="434"/>
      <c r="ET99" s="434"/>
      <c r="EU99" s="434"/>
      <c r="EV99" s="434"/>
      <c r="EW99" s="434"/>
      <c r="EX99" s="434"/>
      <c r="EY99" s="434"/>
      <c r="EZ99" s="434"/>
      <c r="FA99" s="434"/>
      <c r="FB99" s="434"/>
      <c r="FC99" s="399"/>
      <c r="FD99" s="399"/>
      <c r="FE99" s="399"/>
      <c r="FF99" s="399"/>
      <c r="FG99" s="415"/>
      <c r="FH99" s="415"/>
      <c r="FI99" s="415"/>
      <c r="FJ99" s="415"/>
      <c r="FK99" s="415"/>
      <c r="FL99" s="415"/>
      <c r="FM99" s="415"/>
    </row>
    <row r="100" spans="1:169" hidden="1">
      <c r="A100" s="410"/>
      <c r="B100" s="412"/>
      <c r="C100" s="412"/>
      <c r="D100" s="412"/>
      <c r="E100" s="412"/>
      <c r="F100" s="412"/>
      <c r="G100" s="412"/>
      <c r="H100" s="412"/>
      <c r="I100" s="412"/>
      <c r="J100" s="412"/>
      <c r="K100" s="412"/>
      <c r="L100" s="412"/>
      <c r="M100" s="413"/>
      <c r="N100" s="413"/>
      <c r="O100" s="413"/>
      <c r="P100" s="413"/>
      <c r="Q100" s="413"/>
      <c r="R100" s="413"/>
      <c r="S100" s="413"/>
      <c r="T100" s="413"/>
      <c r="U100" s="413"/>
      <c r="V100" s="413"/>
      <c r="W100" s="807">
        <f t="shared" si="19"/>
        <v>0</v>
      </c>
      <c r="X100" s="413"/>
      <c r="Y100" s="413"/>
      <c r="Z100" s="413"/>
      <c r="AA100" s="413"/>
      <c r="AB100" s="413"/>
      <c r="AC100" s="413"/>
      <c r="AD100" s="413"/>
      <c r="AE100" s="413"/>
      <c r="AF100" s="413"/>
      <c r="AG100" s="413"/>
      <c r="AH100" s="413"/>
      <c r="AI100" s="413"/>
      <c r="AJ100" s="413"/>
      <c r="AK100" s="413"/>
      <c r="AL100" s="413"/>
      <c r="AM100" s="413"/>
      <c r="AN100" s="413"/>
      <c r="AO100" s="414"/>
      <c r="AP100" s="413"/>
      <c r="AQ100" s="413"/>
      <c r="AR100" s="413"/>
      <c r="AS100" s="413"/>
      <c r="AT100" s="413"/>
      <c r="AU100" s="413"/>
      <c r="AV100" s="413"/>
      <c r="AW100" s="413"/>
      <c r="AX100" s="413"/>
      <c r="AY100" s="414"/>
      <c r="AZ100" s="413"/>
      <c r="BA100" s="413"/>
      <c r="BB100" s="413"/>
      <c r="BC100" s="413"/>
      <c r="BD100" s="413"/>
      <c r="BE100" s="413"/>
      <c r="BF100" s="413"/>
      <c r="BG100" s="413"/>
      <c r="BH100" s="413"/>
      <c r="BI100" s="414"/>
      <c r="BJ100" s="413"/>
      <c r="BK100" s="413"/>
      <c r="BL100" s="413"/>
      <c r="BM100" s="413"/>
      <c r="BN100" s="413"/>
      <c r="BO100" s="413"/>
      <c r="BP100" s="413"/>
      <c r="BQ100" s="413"/>
      <c r="BR100" s="413"/>
      <c r="BS100" s="413"/>
      <c r="BT100" s="413"/>
      <c r="BU100" s="413"/>
      <c r="BV100" s="413"/>
      <c r="BW100" s="413"/>
      <c r="BX100" s="413"/>
      <c r="BY100" s="413"/>
      <c r="BZ100" s="413"/>
      <c r="CA100" s="413"/>
      <c r="CB100" s="413"/>
      <c r="CC100" s="413"/>
      <c r="CD100" s="413"/>
      <c r="CE100" s="413"/>
      <c r="CF100" s="413"/>
      <c r="CG100" s="413"/>
      <c r="CH100" s="413"/>
      <c r="CI100" s="413"/>
      <c r="CJ100" s="413"/>
      <c r="CK100" s="413"/>
      <c r="CL100" s="413"/>
      <c r="CM100" s="414"/>
      <c r="CN100" s="413"/>
      <c r="CO100" s="413"/>
      <c r="CP100" s="413"/>
      <c r="CQ100" s="413"/>
      <c r="CR100" s="413"/>
      <c r="CS100" s="413"/>
      <c r="CT100" s="413"/>
      <c r="CU100" s="413"/>
      <c r="CV100" s="413"/>
      <c r="CW100" s="414"/>
      <c r="CX100" s="413"/>
      <c r="CY100" s="413"/>
      <c r="CZ100" s="413"/>
      <c r="DA100" s="413"/>
      <c r="DB100" s="413"/>
      <c r="DC100" s="413"/>
      <c r="DD100" s="413"/>
      <c r="DE100" s="413"/>
      <c r="DF100" s="413"/>
      <c r="DG100" s="414"/>
      <c r="DH100" s="413"/>
      <c r="DI100" s="413"/>
      <c r="DJ100" s="413"/>
      <c r="DK100" s="413"/>
      <c r="DL100" s="413"/>
      <c r="DM100" s="413"/>
      <c r="DN100" s="413"/>
      <c r="DO100" s="413"/>
      <c r="DP100" s="413"/>
      <c r="DQ100" s="414"/>
      <c r="DR100" s="413"/>
      <c r="DS100" s="413"/>
      <c r="DT100" s="413"/>
      <c r="DU100" s="413"/>
      <c r="DV100" s="413"/>
      <c r="DW100" s="413"/>
      <c r="DX100" s="413"/>
      <c r="DY100" s="413"/>
      <c r="DZ100" s="413"/>
      <c r="EA100" s="413"/>
      <c r="EB100" s="413"/>
      <c r="EC100" s="413"/>
      <c r="ED100" s="413"/>
      <c r="EE100" s="413"/>
      <c r="EF100" s="413"/>
      <c r="EG100" s="413"/>
      <c r="EH100" s="413"/>
      <c r="EI100" s="413"/>
      <c r="EJ100" s="413"/>
      <c r="EK100" s="413"/>
      <c r="EL100" s="413"/>
      <c r="EM100" s="452"/>
      <c r="EN100" s="413"/>
      <c r="EO100" s="453"/>
      <c r="EP100" s="413"/>
      <c r="EQ100" s="434"/>
      <c r="ER100" s="434"/>
      <c r="ES100" s="434"/>
      <c r="ET100" s="434"/>
      <c r="EU100" s="434"/>
      <c r="EV100" s="434"/>
      <c r="EW100" s="434"/>
      <c r="EX100" s="434"/>
      <c r="EY100" s="434"/>
      <c r="EZ100" s="434"/>
      <c r="FA100" s="434"/>
      <c r="FB100" s="434"/>
      <c r="FC100" s="399"/>
      <c r="FD100" s="399"/>
      <c r="FE100" s="399"/>
      <c r="FF100" s="399"/>
      <c r="FG100" s="415"/>
      <c r="FH100" s="415"/>
      <c r="FI100" s="415"/>
      <c r="FJ100" s="415"/>
      <c r="FK100" s="415"/>
      <c r="FL100" s="415"/>
      <c r="FM100" s="415"/>
    </row>
    <row r="101" spans="1:169">
      <c r="A101" s="410" t="s">
        <v>40</v>
      </c>
      <c r="B101" s="412" t="s">
        <v>1355</v>
      </c>
      <c r="C101" s="412"/>
      <c r="D101" s="412"/>
      <c r="E101" s="412"/>
      <c r="F101" s="412"/>
      <c r="G101" s="412"/>
      <c r="H101" s="412"/>
      <c r="I101" s="412"/>
      <c r="J101" s="412"/>
      <c r="K101" s="412"/>
      <c r="L101" s="412"/>
      <c r="M101" s="413"/>
      <c r="N101" s="413"/>
      <c r="O101" s="413"/>
      <c r="P101" s="413"/>
      <c r="Q101" s="413"/>
      <c r="R101" s="413"/>
      <c r="S101" s="413"/>
      <c r="T101" s="413"/>
      <c r="U101" s="413"/>
      <c r="V101" s="413"/>
      <c r="W101" s="807"/>
      <c r="X101" s="413"/>
      <c r="Y101" s="413"/>
      <c r="Z101" s="413"/>
      <c r="AA101" s="413"/>
      <c r="AB101" s="413"/>
      <c r="AC101" s="413"/>
      <c r="AD101" s="413"/>
      <c r="AE101" s="413"/>
      <c r="AF101" s="413"/>
      <c r="AG101" s="413"/>
      <c r="AH101" s="413"/>
      <c r="AI101" s="413"/>
      <c r="AJ101" s="413"/>
      <c r="AK101" s="413"/>
      <c r="AL101" s="413"/>
      <c r="AM101" s="413"/>
      <c r="AN101" s="413"/>
      <c r="AO101" s="414"/>
      <c r="AP101" s="413"/>
      <c r="AQ101" s="413"/>
      <c r="AR101" s="413"/>
      <c r="AS101" s="413"/>
      <c r="AT101" s="413"/>
      <c r="AU101" s="413"/>
      <c r="AV101" s="413"/>
      <c r="AW101" s="413"/>
      <c r="AX101" s="413"/>
      <c r="AY101" s="414"/>
      <c r="AZ101" s="413"/>
      <c r="BA101" s="413"/>
      <c r="BB101" s="413"/>
      <c r="BC101" s="413"/>
      <c r="BD101" s="413"/>
      <c r="BE101" s="413"/>
      <c r="BF101" s="413"/>
      <c r="BG101" s="413"/>
      <c r="BH101" s="413"/>
      <c r="BI101" s="414"/>
      <c r="BJ101" s="413"/>
      <c r="BK101" s="413"/>
      <c r="BL101" s="413"/>
      <c r="BM101" s="413"/>
      <c r="BN101" s="413"/>
      <c r="BO101" s="413"/>
      <c r="BP101" s="413"/>
      <c r="BQ101" s="413"/>
      <c r="BR101" s="413"/>
      <c r="BS101" s="413"/>
      <c r="BT101" s="413"/>
      <c r="BU101" s="413"/>
      <c r="BV101" s="413"/>
      <c r="BW101" s="413"/>
      <c r="BX101" s="413"/>
      <c r="BY101" s="413"/>
      <c r="BZ101" s="413"/>
      <c r="CA101" s="413"/>
      <c r="CB101" s="413"/>
      <c r="CC101" s="413"/>
      <c r="CD101" s="413"/>
      <c r="CE101" s="413"/>
      <c r="CF101" s="413"/>
      <c r="CG101" s="413"/>
      <c r="CH101" s="413"/>
      <c r="CI101" s="413"/>
      <c r="CJ101" s="413"/>
      <c r="CK101" s="413"/>
      <c r="CL101" s="413"/>
      <c r="CM101" s="414"/>
      <c r="CN101" s="413"/>
      <c r="CO101" s="413"/>
      <c r="CP101" s="413"/>
      <c r="CQ101" s="413"/>
      <c r="CR101" s="413"/>
      <c r="CS101" s="413"/>
      <c r="CT101" s="413"/>
      <c r="CU101" s="413"/>
      <c r="CV101" s="413"/>
      <c r="CW101" s="414"/>
      <c r="CX101" s="413"/>
      <c r="CY101" s="413"/>
      <c r="CZ101" s="413"/>
      <c r="DA101" s="413"/>
      <c r="DB101" s="413"/>
      <c r="DC101" s="413"/>
      <c r="DD101" s="413"/>
      <c r="DE101" s="413"/>
      <c r="DF101" s="413"/>
      <c r="DG101" s="414"/>
      <c r="DH101" s="413"/>
      <c r="DI101" s="413"/>
      <c r="DJ101" s="413"/>
      <c r="DK101" s="413"/>
      <c r="DL101" s="413"/>
      <c r="DM101" s="413"/>
      <c r="DN101" s="413"/>
      <c r="DO101" s="413"/>
      <c r="DP101" s="413"/>
      <c r="DQ101" s="414"/>
      <c r="DR101" s="413"/>
      <c r="DS101" s="413"/>
      <c r="DT101" s="413"/>
      <c r="DU101" s="413"/>
      <c r="DV101" s="413"/>
      <c r="DW101" s="413"/>
      <c r="DX101" s="413"/>
      <c r="DY101" s="413"/>
      <c r="DZ101" s="413"/>
      <c r="EA101" s="413"/>
      <c r="EB101" s="413"/>
      <c r="EC101" s="413"/>
      <c r="ED101" s="413"/>
      <c r="EE101" s="413"/>
      <c r="EF101" s="413"/>
      <c r="EG101" s="413"/>
      <c r="EH101" s="413"/>
      <c r="EI101" s="413"/>
      <c r="EJ101" s="413"/>
      <c r="EK101" s="413"/>
      <c r="EL101" s="413"/>
      <c r="EM101" s="452"/>
      <c r="EN101" s="413"/>
      <c r="EO101" s="453"/>
      <c r="EP101" s="413"/>
      <c r="EQ101" s="434"/>
      <c r="ER101" s="434"/>
      <c r="ES101" s="434"/>
      <c r="ET101" s="434"/>
      <c r="EU101" s="434"/>
      <c r="EV101" s="434"/>
      <c r="EW101" s="434"/>
      <c r="EX101" s="434"/>
      <c r="EY101" s="434"/>
      <c r="EZ101" s="434"/>
      <c r="FA101" s="434"/>
      <c r="FB101" s="434"/>
      <c r="FC101" s="399"/>
      <c r="FD101" s="399"/>
      <c r="FE101" s="399"/>
      <c r="FF101" s="399"/>
      <c r="FG101" s="415"/>
      <c r="FH101" s="415"/>
      <c r="FI101" s="415"/>
      <c r="FJ101" s="415"/>
      <c r="FK101" s="415"/>
      <c r="FL101" s="415"/>
      <c r="FM101" s="415"/>
    </row>
    <row r="102" spans="1:169" ht="28.5">
      <c r="A102" s="410" t="s">
        <v>41</v>
      </c>
      <c r="B102" s="466" t="s">
        <v>1356</v>
      </c>
      <c r="C102" s="412"/>
      <c r="D102" s="412"/>
      <c r="E102" s="412"/>
      <c r="F102" s="412"/>
      <c r="G102" s="412"/>
      <c r="H102" s="412"/>
      <c r="I102" s="412"/>
      <c r="J102" s="412"/>
      <c r="K102" s="412"/>
      <c r="L102" s="412"/>
      <c r="M102" s="413"/>
      <c r="N102" s="413"/>
      <c r="O102" s="413"/>
      <c r="P102" s="413"/>
      <c r="Q102" s="413"/>
      <c r="R102" s="413"/>
      <c r="S102" s="413"/>
      <c r="T102" s="413"/>
      <c r="U102" s="413"/>
      <c r="V102" s="413"/>
      <c r="W102" s="413"/>
      <c r="X102" s="413"/>
      <c r="Y102" s="413"/>
      <c r="Z102" s="413"/>
      <c r="AA102" s="413"/>
      <c r="AB102" s="413"/>
      <c r="AC102" s="413"/>
      <c r="AD102" s="413"/>
      <c r="AE102" s="413"/>
      <c r="AF102" s="413"/>
      <c r="AG102" s="413"/>
      <c r="AH102" s="413"/>
      <c r="AI102" s="413"/>
      <c r="AJ102" s="413"/>
      <c r="AK102" s="413"/>
      <c r="AL102" s="413"/>
      <c r="AM102" s="413"/>
      <c r="AN102" s="413"/>
      <c r="AO102" s="414"/>
      <c r="AP102" s="413"/>
      <c r="AQ102" s="413"/>
      <c r="AR102" s="413"/>
      <c r="AS102" s="413"/>
      <c r="AT102" s="413"/>
      <c r="AU102" s="413"/>
      <c r="AV102" s="413"/>
      <c r="AW102" s="413"/>
      <c r="AX102" s="413"/>
      <c r="AY102" s="414"/>
      <c r="AZ102" s="413"/>
      <c r="BA102" s="413"/>
      <c r="BB102" s="413"/>
      <c r="BC102" s="413"/>
      <c r="BD102" s="413"/>
      <c r="BE102" s="413"/>
      <c r="BF102" s="413"/>
      <c r="BG102" s="413"/>
      <c r="BH102" s="413"/>
      <c r="BI102" s="414"/>
      <c r="BJ102" s="413"/>
      <c r="BK102" s="413"/>
      <c r="BL102" s="413"/>
      <c r="BM102" s="413"/>
      <c r="BN102" s="413"/>
      <c r="BO102" s="413"/>
      <c r="BP102" s="413"/>
      <c r="BQ102" s="413"/>
      <c r="BR102" s="413"/>
      <c r="BS102" s="413"/>
      <c r="BT102" s="413"/>
      <c r="BU102" s="413"/>
      <c r="BV102" s="413"/>
      <c r="BW102" s="413"/>
      <c r="BX102" s="413"/>
      <c r="BY102" s="413"/>
      <c r="BZ102" s="413"/>
      <c r="CA102" s="413"/>
      <c r="CB102" s="413"/>
      <c r="CC102" s="413"/>
      <c r="CD102" s="413"/>
      <c r="CE102" s="413"/>
      <c r="CF102" s="413"/>
      <c r="CG102" s="413"/>
      <c r="CH102" s="413"/>
      <c r="CI102" s="413"/>
      <c r="CJ102" s="413"/>
      <c r="CK102" s="413"/>
      <c r="CL102" s="413"/>
      <c r="CM102" s="414"/>
      <c r="CN102" s="413"/>
      <c r="CO102" s="413"/>
      <c r="CP102" s="413"/>
      <c r="CQ102" s="413"/>
      <c r="CR102" s="413"/>
      <c r="CS102" s="413"/>
      <c r="CT102" s="413"/>
      <c r="CU102" s="413"/>
      <c r="CV102" s="413"/>
      <c r="CW102" s="414"/>
      <c r="CX102" s="413"/>
      <c r="CY102" s="413"/>
      <c r="CZ102" s="413"/>
      <c r="DA102" s="413"/>
      <c r="DB102" s="413"/>
      <c r="DC102" s="413"/>
      <c r="DD102" s="413"/>
      <c r="DE102" s="413"/>
      <c r="DF102" s="413"/>
      <c r="DG102" s="414"/>
      <c r="DH102" s="413"/>
      <c r="DI102" s="413"/>
      <c r="DJ102" s="413"/>
      <c r="DK102" s="413"/>
      <c r="DL102" s="413"/>
      <c r="DM102" s="413"/>
      <c r="DN102" s="413"/>
      <c r="DO102" s="413"/>
      <c r="DP102" s="413"/>
      <c r="DQ102" s="414"/>
      <c r="DR102" s="413"/>
      <c r="DS102" s="413"/>
      <c r="DT102" s="413"/>
      <c r="DU102" s="413"/>
      <c r="DV102" s="413"/>
      <c r="DW102" s="413"/>
      <c r="DX102" s="413"/>
      <c r="DY102" s="413"/>
      <c r="DZ102" s="413"/>
      <c r="EA102" s="413"/>
      <c r="EB102" s="413"/>
      <c r="EC102" s="413"/>
      <c r="ED102" s="413"/>
      <c r="EE102" s="413"/>
      <c r="EF102" s="413"/>
      <c r="EG102" s="413"/>
      <c r="EH102" s="413"/>
      <c r="EI102" s="413"/>
      <c r="EJ102" s="413"/>
      <c r="EK102" s="413"/>
      <c r="EL102" s="413"/>
      <c r="EM102" s="452"/>
      <c r="EN102" s="413"/>
      <c r="EO102" s="453"/>
      <c r="EP102" s="413"/>
      <c r="EQ102" s="434"/>
      <c r="ER102" s="434"/>
      <c r="ES102" s="434"/>
      <c r="ET102" s="434"/>
      <c r="EU102" s="434"/>
      <c r="EV102" s="434"/>
      <c r="EW102" s="434"/>
      <c r="EX102" s="434"/>
      <c r="EY102" s="434"/>
      <c r="EZ102" s="434"/>
      <c r="FA102" s="434"/>
      <c r="FB102" s="434"/>
      <c r="FC102" s="399"/>
      <c r="FD102" s="399"/>
      <c r="FE102" s="399"/>
      <c r="FF102" s="399"/>
      <c r="FG102" s="415"/>
      <c r="FH102" s="415"/>
      <c r="FI102" s="415"/>
      <c r="FJ102" s="415"/>
      <c r="FK102" s="415"/>
      <c r="FL102" s="415"/>
      <c r="FM102" s="415"/>
    </row>
    <row r="103" spans="1:169">
      <c r="A103" s="410" t="s">
        <v>42</v>
      </c>
      <c r="B103" s="418" t="s">
        <v>1240</v>
      </c>
      <c r="C103" s="412"/>
      <c r="D103" s="412"/>
      <c r="E103" s="412"/>
      <c r="F103" s="412"/>
      <c r="G103" s="412"/>
      <c r="H103" s="412"/>
      <c r="I103" s="412"/>
      <c r="J103" s="412"/>
      <c r="K103" s="412"/>
      <c r="L103" s="412"/>
      <c r="M103" s="413"/>
      <c r="N103" s="413"/>
      <c r="O103" s="413"/>
      <c r="P103" s="413"/>
      <c r="Q103" s="413"/>
      <c r="R103" s="413"/>
      <c r="S103" s="413"/>
      <c r="T103" s="413"/>
      <c r="U103" s="413"/>
      <c r="V103" s="413"/>
      <c r="W103" s="413"/>
      <c r="X103" s="413"/>
      <c r="Y103" s="413"/>
      <c r="Z103" s="413"/>
      <c r="AA103" s="413"/>
      <c r="AB103" s="413"/>
      <c r="AC103" s="413"/>
      <c r="AD103" s="413"/>
      <c r="AE103" s="413"/>
      <c r="AF103" s="413"/>
      <c r="AG103" s="413"/>
      <c r="AH103" s="413"/>
      <c r="AI103" s="413"/>
      <c r="AJ103" s="413"/>
      <c r="AK103" s="413"/>
      <c r="AL103" s="413"/>
      <c r="AM103" s="413"/>
      <c r="AN103" s="413"/>
      <c r="AO103" s="414"/>
      <c r="AP103" s="413"/>
      <c r="AQ103" s="413"/>
      <c r="AR103" s="413"/>
      <c r="AS103" s="413"/>
      <c r="AT103" s="413"/>
      <c r="AU103" s="413"/>
      <c r="AV103" s="413"/>
      <c r="AW103" s="413"/>
      <c r="AX103" s="413"/>
      <c r="AY103" s="414"/>
      <c r="AZ103" s="413"/>
      <c r="BA103" s="413"/>
      <c r="BB103" s="413"/>
      <c r="BC103" s="413"/>
      <c r="BD103" s="413"/>
      <c r="BE103" s="413"/>
      <c r="BF103" s="413"/>
      <c r="BG103" s="413"/>
      <c r="BH103" s="413"/>
      <c r="BI103" s="414"/>
      <c r="BJ103" s="413"/>
      <c r="BK103" s="413"/>
      <c r="BL103" s="413"/>
      <c r="BM103" s="413"/>
      <c r="BN103" s="413"/>
      <c r="BO103" s="413"/>
      <c r="BP103" s="413"/>
      <c r="BQ103" s="413"/>
      <c r="BR103" s="413"/>
      <c r="BS103" s="413"/>
      <c r="BT103" s="413"/>
      <c r="BU103" s="413"/>
      <c r="BV103" s="413"/>
      <c r="BW103" s="413"/>
      <c r="BX103" s="413"/>
      <c r="BY103" s="413"/>
      <c r="BZ103" s="413"/>
      <c r="CA103" s="413"/>
      <c r="CB103" s="413"/>
      <c r="CC103" s="413"/>
      <c r="CD103" s="413"/>
      <c r="CE103" s="413"/>
      <c r="CF103" s="413"/>
      <c r="CG103" s="413"/>
      <c r="CH103" s="413"/>
      <c r="CI103" s="413"/>
      <c r="CJ103" s="413"/>
      <c r="CK103" s="413"/>
      <c r="CL103" s="413"/>
      <c r="CM103" s="414"/>
      <c r="CN103" s="413"/>
      <c r="CO103" s="413"/>
      <c r="CP103" s="413"/>
      <c r="CQ103" s="413"/>
      <c r="CR103" s="413"/>
      <c r="CS103" s="413"/>
      <c r="CT103" s="413"/>
      <c r="CU103" s="413"/>
      <c r="CV103" s="413"/>
      <c r="CW103" s="414"/>
      <c r="CX103" s="413"/>
      <c r="CY103" s="413"/>
      <c r="CZ103" s="413"/>
      <c r="DA103" s="413"/>
      <c r="DB103" s="413"/>
      <c r="DC103" s="413"/>
      <c r="DD103" s="413"/>
      <c r="DE103" s="413"/>
      <c r="DF103" s="413"/>
      <c r="DG103" s="414"/>
      <c r="DH103" s="413"/>
      <c r="DI103" s="413"/>
      <c r="DJ103" s="413"/>
      <c r="DK103" s="413"/>
      <c r="DL103" s="413"/>
      <c r="DM103" s="413"/>
      <c r="DN103" s="413"/>
      <c r="DO103" s="413"/>
      <c r="DP103" s="413"/>
      <c r="DQ103" s="414"/>
      <c r="DR103" s="413"/>
      <c r="DS103" s="413"/>
      <c r="DT103" s="413"/>
      <c r="DU103" s="413"/>
      <c r="DV103" s="413"/>
      <c r="DW103" s="413"/>
      <c r="DX103" s="413"/>
      <c r="DY103" s="413"/>
      <c r="DZ103" s="413"/>
      <c r="EA103" s="413"/>
      <c r="EB103" s="413"/>
      <c r="EC103" s="413"/>
      <c r="ED103" s="413"/>
      <c r="EE103" s="413"/>
      <c r="EF103" s="413"/>
      <c r="EG103" s="413"/>
      <c r="EH103" s="413"/>
      <c r="EI103" s="413"/>
      <c r="EJ103" s="413"/>
      <c r="EK103" s="413"/>
      <c r="EL103" s="413"/>
      <c r="EM103" s="452"/>
      <c r="EN103" s="413"/>
      <c r="EO103" s="453"/>
      <c r="EP103" s="413"/>
      <c r="EQ103" s="434"/>
      <c r="ER103" s="434"/>
      <c r="ES103" s="434"/>
      <c r="ET103" s="434"/>
      <c r="EU103" s="434"/>
      <c r="EV103" s="434"/>
      <c r="EW103" s="434"/>
      <c r="EX103" s="434"/>
      <c r="EY103" s="434"/>
      <c r="EZ103" s="434"/>
      <c r="FA103" s="434"/>
      <c r="FB103" s="434"/>
      <c r="FC103" s="399"/>
      <c r="FD103" s="399"/>
      <c r="FE103" s="399"/>
      <c r="FF103" s="399"/>
      <c r="FG103" s="415"/>
      <c r="FH103" s="415"/>
      <c r="FI103" s="415"/>
      <c r="FJ103" s="415"/>
      <c r="FK103" s="415"/>
      <c r="FL103" s="415"/>
      <c r="FM103" s="415"/>
    </row>
    <row r="104" spans="1:169">
      <c r="A104" s="410" t="s">
        <v>90</v>
      </c>
      <c r="B104" s="418" t="s">
        <v>1241</v>
      </c>
      <c r="C104" s="412"/>
      <c r="D104" s="412"/>
      <c r="E104" s="412"/>
      <c r="F104" s="412"/>
      <c r="G104" s="412"/>
      <c r="H104" s="412"/>
      <c r="I104" s="412"/>
      <c r="J104" s="412"/>
      <c r="K104" s="412"/>
      <c r="L104" s="412"/>
      <c r="M104" s="413"/>
      <c r="N104" s="413"/>
      <c r="O104" s="413"/>
      <c r="P104" s="413"/>
      <c r="Q104" s="413"/>
      <c r="R104" s="413"/>
      <c r="S104" s="413"/>
      <c r="T104" s="413"/>
      <c r="U104" s="413"/>
      <c r="V104" s="413"/>
      <c r="W104" s="413"/>
      <c r="X104" s="413"/>
      <c r="Y104" s="413"/>
      <c r="Z104" s="413"/>
      <c r="AA104" s="413"/>
      <c r="AB104" s="413"/>
      <c r="AC104" s="413"/>
      <c r="AD104" s="413"/>
      <c r="AE104" s="413"/>
      <c r="AF104" s="413"/>
      <c r="AG104" s="413"/>
      <c r="AH104" s="413"/>
      <c r="AI104" s="413"/>
      <c r="AJ104" s="413"/>
      <c r="AK104" s="413"/>
      <c r="AL104" s="413"/>
      <c r="AM104" s="413"/>
      <c r="AN104" s="413"/>
      <c r="AO104" s="414"/>
      <c r="AP104" s="413"/>
      <c r="AQ104" s="413"/>
      <c r="AR104" s="413"/>
      <c r="AS104" s="413"/>
      <c r="AT104" s="413"/>
      <c r="AU104" s="413"/>
      <c r="AV104" s="413"/>
      <c r="AW104" s="413"/>
      <c r="AX104" s="413"/>
      <c r="AY104" s="414"/>
      <c r="AZ104" s="413"/>
      <c r="BA104" s="413"/>
      <c r="BB104" s="413"/>
      <c r="BC104" s="413"/>
      <c r="BD104" s="413"/>
      <c r="BE104" s="413"/>
      <c r="BF104" s="413"/>
      <c r="BG104" s="413"/>
      <c r="BH104" s="413"/>
      <c r="BI104" s="414"/>
      <c r="BJ104" s="413"/>
      <c r="BK104" s="413"/>
      <c r="BL104" s="413"/>
      <c r="BM104" s="413"/>
      <c r="BN104" s="413"/>
      <c r="BO104" s="413"/>
      <c r="BP104" s="413"/>
      <c r="BQ104" s="413"/>
      <c r="BR104" s="413"/>
      <c r="BS104" s="413"/>
      <c r="BT104" s="413"/>
      <c r="BU104" s="413"/>
      <c r="BV104" s="413"/>
      <c r="BW104" s="413"/>
      <c r="BX104" s="413"/>
      <c r="BY104" s="413"/>
      <c r="BZ104" s="413"/>
      <c r="CA104" s="413"/>
      <c r="CB104" s="413"/>
      <c r="CC104" s="413"/>
      <c r="CD104" s="413"/>
      <c r="CE104" s="413"/>
      <c r="CF104" s="413"/>
      <c r="CG104" s="413"/>
      <c r="CH104" s="413"/>
      <c r="CI104" s="413"/>
      <c r="CJ104" s="413"/>
      <c r="CK104" s="413"/>
      <c r="CL104" s="413"/>
      <c r="CM104" s="414"/>
      <c r="CN104" s="413"/>
      <c r="CO104" s="413"/>
      <c r="CP104" s="413"/>
      <c r="CQ104" s="413"/>
      <c r="CR104" s="413"/>
      <c r="CS104" s="413"/>
      <c r="CT104" s="413"/>
      <c r="CU104" s="413"/>
      <c r="CV104" s="413"/>
      <c r="CW104" s="414"/>
      <c r="CX104" s="413"/>
      <c r="CY104" s="413"/>
      <c r="CZ104" s="413"/>
      <c r="DA104" s="413"/>
      <c r="DB104" s="413"/>
      <c r="DC104" s="413"/>
      <c r="DD104" s="413"/>
      <c r="DE104" s="413"/>
      <c r="DF104" s="413"/>
      <c r="DG104" s="414"/>
      <c r="DH104" s="413"/>
      <c r="DI104" s="413"/>
      <c r="DJ104" s="413"/>
      <c r="DK104" s="413"/>
      <c r="DL104" s="413"/>
      <c r="DM104" s="413"/>
      <c r="DN104" s="413"/>
      <c r="DO104" s="413"/>
      <c r="DP104" s="413"/>
      <c r="DQ104" s="414"/>
      <c r="DR104" s="413"/>
      <c r="DS104" s="413"/>
      <c r="DT104" s="413"/>
      <c r="DU104" s="413"/>
      <c r="DV104" s="413"/>
      <c r="DW104" s="413"/>
      <c r="DX104" s="413"/>
      <c r="DY104" s="413"/>
      <c r="DZ104" s="413"/>
      <c r="EA104" s="413"/>
      <c r="EB104" s="413"/>
      <c r="EC104" s="413"/>
      <c r="ED104" s="413"/>
      <c r="EE104" s="413"/>
      <c r="EF104" s="413"/>
      <c r="EG104" s="413"/>
      <c r="EH104" s="413"/>
      <c r="EI104" s="413"/>
      <c r="EJ104" s="413"/>
      <c r="EK104" s="413"/>
      <c r="EL104" s="413"/>
      <c r="EM104" s="452"/>
      <c r="EN104" s="413"/>
      <c r="EO104" s="453"/>
      <c r="EP104" s="413"/>
      <c r="EQ104" s="434"/>
      <c r="ER104" s="434"/>
      <c r="ES104" s="434"/>
      <c r="ET104" s="434"/>
      <c r="EU104" s="434"/>
      <c r="EV104" s="434"/>
      <c r="EW104" s="434"/>
      <c r="EX104" s="434"/>
      <c r="EY104" s="434"/>
      <c r="EZ104" s="434"/>
      <c r="FA104" s="434"/>
      <c r="FB104" s="434"/>
      <c r="FC104" s="399"/>
      <c r="FD104" s="399"/>
      <c r="FE104" s="399"/>
      <c r="FF104" s="399"/>
      <c r="FG104" s="415"/>
      <c r="FH104" s="415"/>
      <c r="FI104" s="415"/>
      <c r="FJ104" s="415"/>
      <c r="FK104" s="415"/>
      <c r="FL104" s="415"/>
      <c r="FM104" s="415"/>
    </row>
    <row r="105" spans="1:169">
      <c r="A105" s="410" t="s">
        <v>91</v>
      </c>
      <c r="B105" s="418" t="s">
        <v>1352</v>
      </c>
      <c r="C105" s="412"/>
      <c r="D105" s="412"/>
      <c r="E105" s="412"/>
      <c r="F105" s="412"/>
      <c r="G105" s="412"/>
      <c r="H105" s="412"/>
      <c r="I105" s="412"/>
      <c r="J105" s="412"/>
      <c r="K105" s="412"/>
      <c r="L105" s="412"/>
      <c r="M105" s="413"/>
      <c r="N105" s="413"/>
      <c r="O105" s="413"/>
      <c r="P105" s="413"/>
      <c r="Q105" s="413"/>
      <c r="R105" s="413"/>
      <c r="S105" s="413"/>
      <c r="T105" s="413"/>
      <c r="U105" s="413"/>
      <c r="V105" s="413"/>
      <c r="W105" s="413"/>
      <c r="X105" s="413"/>
      <c r="Y105" s="413"/>
      <c r="Z105" s="413"/>
      <c r="AA105" s="413"/>
      <c r="AB105" s="413"/>
      <c r="AC105" s="413"/>
      <c r="AD105" s="413"/>
      <c r="AE105" s="413"/>
      <c r="AF105" s="413"/>
      <c r="AG105" s="413"/>
      <c r="AH105" s="413"/>
      <c r="AI105" s="413"/>
      <c r="AJ105" s="413"/>
      <c r="AK105" s="413"/>
      <c r="AL105" s="413"/>
      <c r="AM105" s="413"/>
      <c r="AN105" s="413"/>
      <c r="AO105" s="414"/>
      <c r="AP105" s="413"/>
      <c r="AQ105" s="413"/>
      <c r="AR105" s="413"/>
      <c r="AS105" s="413"/>
      <c r="AT105" s="413"/>
      <c r="AU105" s="413"/>
      <c r="AV105" s="413"/>
      <c r="AW105" s="413"/>
      <c r="AX105" s="413"/>
      <c r="AY105" s="414"/>
      <c r="AZ105" s="413"/>
      <c r="BA105" s="413"/>
      <c r="BB105" s="413"/>
      <c r="BC105" s="413"/>
      <c r="BD105" s="413"/>
      <c r="BE105" s="413"/>
      <c r="BF105" s="413"/>
      <c r="BG105" s="413"/>
      <c r="BH105" s="413"/>
      <c r="BI105" s="414"/>
      <c r="BJ105" s="413"/>
      <c r="BK105" s="413"/>
      <c r="BL105" s="413"/>
      <c r="BM105" s="413"/>
      <c r="BN105" s="413"/>
      <c r="BO105" s="413"/>
      <c r="BP105" s="413"/>
      <c r="BQ105" s="413"/>
      <c r="BR105" s="413"/>
      <c r="BS105" s="413"/>
      <c r="BT105" s="413"/>
      <c r="BU105" s="413"/>
      <c r="BV105" s="413"/>
      <c r="BW105" s="413"/>
      <c r="BX105" s="413"/>
      <c r="BY105" s="413"/>
      <c r="BZ105" s="413"/>
      <c r="CA105" s="413"/>
      <c r="CB105" s="413"/>
      <c r="CC105" s="413"/>
      <c r="CD105" s="413"/>
      <c r="CE105" s="413"/>
      <c r="CF105" s="413"/>
      <c r="CG105" s="413"/>
      <c r="CH105" s="413"/>
      <c r="CI105" s="413"/>
      <c r="CJ105" s="413"/>
      <c r="CK105" s="413"/>
      <c r="CL105" s="413"/>
      <c r="CM105" s="414"/>
      <c r="CN105" s="413"/>
      <c r="CO105" s="413"/>
      <c r="CP105" s="413"/>
      <c r="CQ105" s="413"/>
      <c r="CR105" s="413"/>
      <c r="CS105" s="413"/>
      <c r="CT105" s="413"/>
      <c r="CU105" s="413"/>
      <c r="CV105" s="413"/>
      <c r="CW105" s="414"/>
      <c r="CX105" s="413"/>
      <c r="CY105" s="413"/>
      <c r="CZ105" s="413"/>
      <c r="DA105" s="413"/>
      <c r="DB105" s="413"/>
      <c r="DC105" s="413"/>
      <c r="DD105" s="413"/>
      <c r="DE105" s="413"/>
      <c r="DF105" s="413"/>
      <c r="DG105" s="414"/>
      <c r="DH105" s="413"/>
      <c r="DI105" s="413"/>
      <c r="DJ105" s="413"/>
      <c r="DK105" s="413"/>
      <c r="DL105" s="413"/>
      <c r="DM105" s="413"/>
      <c r="DN105" s="413"/>
      <c r="DO105" s="413"/>
      <c r="DP105" s="413"/>
      <c r="DQ105" s="414"/>
      <c r="DR105" s="413"/>
      <c r="DS105" s="413"/>
      <c r="DT105" s="413"/>
      <c r="DU105" s="413"/>
      <c r="DV105" s="413"/>
      <c r="DW105" s="413"/>
      <c r="DX105" s="413"/>
      <c r="DY105" s="413"/>
      <c r="DZ105" s="413"/>
      <c r="EA105" s="413"/>
      <c r="EB105" s="413"/>
      <c r="EC105" s="413"/>
      <c r="ED105" s="413"/>
      <c r="EE105" s="413"/>
      <c r="EF105" s="413"/>
      <c r="EG105" s="413"/>
      <c r="EH105" s="413"/>
      <c r="EI105" s="413"/>
      <c r="EJ105" s="413"/>
      <c r="EK105" s="413"/>
      <c r="EL105" s="413"/>
      <c r="EM105" s="452"/>
      <c r="EN105" s="413"/>
      <c r="EO105" s="453"/>
      <c r="EP105" s="413"/>
      <c r="EQ105" s="434"/>
      <c r="ER105" s="434"/>
      <c r="ES105" s="434"/>
      <c r="ET105" s="434"/>
      <c r="EU105" s="434"/>
      <c r="EV105" s="434"/>
      <c r="EW105" s="434"/>
      <c r="EX105" s="434"/>
      <c r="EY105" s="434"/>
      <c r="EZ105" s="434"/>
      <c r="FA105" s="434"/>
      <c r="FB105" s="434"/>
      <c r="FC105" s="399"/>
      <c r="FD105" s="399"/>
      <c r="FE105" s="399"/>
      <c r="FF105" s="399"/>
      <c r="FG105" s="415"/>
      <c r="FH105" s="415"/>
      <c r="FI105" s="415"/>
      <c r="FJ105" s="415"/>
      <c r="FK105" s="415"/>
      <c r="FL105" s="415"/>
      <c r="FM105" s="415"/>
    </row>
    <row r="106" spans="1:169">
      <c r="A106" s="410" t="s">
        <v>92</v>
      </c>
      <c r="B106" s="418" t="s">
        <v>1201</v>
      </c>
      <c r="C106" s="412"/>
      <c r="D106" s="412"/>
      <c r="E106" s="412"/>
      <c r="F106" s="412"/>
      <c r="G106" s="412"/>
      <c r="H106" s="412"/>
      <c r="I106" s="412"/>
      <c r="J106" s="412"/>
      <c r="K106" s="412"/>
      <c r="L106" s="412"/>
      <c r="M106" s="413"/>
      <c r="N106" s="413"/>
      <c r="O106" s="413"/>
      <c r="P106" s="413"/>
      <c r="Q106" s="413"/>
      <c r="R106" s="413"/>
      <c r="S106" s="413"/>
      <c r="T106" s="413"/>
      <c r="U106" s="413"/>
      <c r="V106" s="413"/>
      <c r="W106" s="413"/>
      <c r="X106" s="413"/>
      <c r="Y106" s="413"/>
      <c r="Z106" s="413"/>
      <c r="AA106" s="413"/>
      <c r="AB106" s="413"/>
      <c r="AC106" s="413"/>
      <c r="AD106" s="413"/>
      <c r="AE106" s="413"/>
      <c r="AF106" s="413"/>
      <c r="AG106" s="413"/>
      <c r="AH106" s="413"/>
      <c r="AI106" s="413"/>
      <c r="AJ106" s="413"/>
      <c r="AK106" s="413"/>
      <c r="AL106" s="413"/>
      <c r="AM106" s="413"/>
      <c r="AN106" s="413"/>
      <c r="AO106" s="414"/>
      <c r="AP106" s="413"/>
      <c r="AQ106" s="413"/>
      <c r="AR106" s="413"/>
      <c r="AS106" s="413"/>
      <c r="AT106" s="413"/>
      <c r="AU106" s="413"/>
      <c r="AV106" s="413"/>
      <c r="AW106" s="413"/>
      <c r="AX106" s="413"/>
      <c r="AY106" s="414"/>
      <c r="AZ106" s="413"/>
      <c r="BA106" s="413"/>
      <c r="BB106" s="413"/>
      <c r="BC106" s="413"/>
      <c r="BD106" s="413"/>
      <c r="BE106" s="413"/>
      <c r="BF106" s="413"/>
      <c r="BG106" s="413"/>
      <c r="BH106" s="413"/>
      <c r="BI106" s="414"/>
      <c r="BJ106" s="413"/>
      <c r="BK106" s="413"/>
      <c r="BL106" s="413"/>
      <c r="BM106" s="413"/>
      <c r="BN106" s="413"/>
      <c r="BO106" s="413"/>
      <c r="BP106" s="413"/>
      <c r="BQ106" s="413"/>
      <c r="BR106" s="413"/>
      <c r="BS106" s="413"/>
      <c r="BT106" s="413"/>
      <c r="BU106" s="413"/>
      <c r="BV106" s="413"/>
      <c r="BW106" s="413"/>
      <c r="BX106" s="413"/>
      <c r="BY106" s="413"/>
      <c r="BZ106" s="413"/>
      <c r="CA106" s="413"/>
      <c r="CB106" s="413"/>
      <c r="CC106" s="413"/>
      <c r="CD106" s="413"/>
      <c r="CE106" s="413"/>
      <c r="CF106" s="413"/>
      <c r="CG106" s="413"/>
      <c r="CH106" s="413"/>
      <c r="CI106" s="413"/>
      <c r="CJ106" s="413"/>
      <c r="CK106" s="413"/>
      <c r="CL106" s="413"/>
      <c r="CM106" s="414"/>
      <c r="CN106" s="413"/>
      <c r="CO106" s="413"/>
      <c r="CP106" s="413"/>
      <c r="CQ106" s="413"/>
      <c r="CR106" s="413"/>
      <c r="CS106" s="413"/>
      <c r="CT106" s="413"/>
      <c r="CU106" s="413"/>
      <c r="CV106" s="413"/>
      <c r="CW106" s="414"/>
      <c r="CX106" s="413"/>
      <c r="CY106" s="413"/>
      <c r="CZ106" s="413"/>
      <c r="DA106" s="413"/>
      <c r="DB106" s="413"/>
      <c r="DC106" s="413"/>
      <c r="DD106" s="413"/>
      <c r="DE106" s="413"/>
      <c r="DF106" s="413"/>
      <c r="DG106" s="414"/>
      <c r="DH106" s="413"/>
      <c r="DI106" s="413"/>
      <c r="DJ106" s="413"/>
      <c r="DK106" s="413"/>
      <c r="DL106" s="413"/>
      <c r="DM106" s="413"/>
      <c r="DN106" s="413"/>
      <c r="DO106" s="413"/>
      <c r="DP106" s="413"/>
      <c r="DQ106" s="414"/>
      <c r="DR106" s="413"/>
      <c r="DS106" s="413"/>
      <c r="DT106" s="413"/>
      <c r="DU106" s="413"/>
      <c r="DV106" s="413"/>
      <c r="DW106" s="413"/>
      <c r="DX106" s="413"/>
      <c r="DY106" s="413"/>
      <c r="DZ106" s="413"/>
      <c r="EA106" s="413"/>
      <c r="EB106" s="413"/>
      <c r="EC106" s="413"/>
      <c r="ED106" s="413"/>
      <c r="EE106" s="413"/>
      <c r="EF106" s="413"/>
      <c r="EG106" s="413"/>
      <c r="EH106" s="413"/>
      <c r="EI106" s="413"/>
      <c r="EJ106" s="413"/>
      <c r="EK106" s="413"/>
      <c r="EL106" s="413"/>
      <c r="EM106" s="452"/>
      <c r="EN106" s="413"/>
      <c r="EO106" s="453"/>
      <c r="EP106" s="413"/>
      <c r="EQ106" s="434"/>
      <c r="ER106" s="434"/>
      <c r="ES106" s="434"/>
      <c r="ET106" s="434"/>
      <c r="EU106" s="434"/>
      <c r="EV106" s="434"/>
      <c r="EW106" s="434"/>
      <c r="EX106" s="434"/>
      <c r="EY106" s="434"/>
      <c r="EZ106" s="434"/>
      <c r="FA106" s="434"/>
      <c r="FB106" s="434"/>
      <c r="FC106" s="399"/>
      <c r="FD106" s="399"/>
      <c r="FE106" s="399"/>
      <c r="FF106" s="399"/>
      <c r="FG106" s="415"/>
      <c r="FH106" s="415"/>
      <c r="FI106" s="415"/>
      <c r="FJ106" s="415"/>
      <c r="FK106" s="415"/>
      <c r="FL106" s="415"/>
      <c r="FM106" s="415"/>
    </row>
    <row r="107" spans="1:169">
      <c r="A107" s="410" t="s">
        <v>155</v>
      </c>
      <c r="B107" s="418" t="s">
        <v>1242</v>
      </c>
      <c r="C107" s="412"/>
      <c r="D107" s="412"/>
      <c r="E107" s="412"/>
      <c r="F107" s="412"/>
      <c r="G107" s="412"/>
      <c r="H107" s="412"/>
      <c r="I107" s="412"/>
      <c r="J107" s="412"/>
      <c r="K107" s="412"/>
      <c r="L107" s="412"/>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4"/>
      <c r="AP107" s="413"/>
      <c r="AQ107" s="413"/>
      <c r="AR107" s="413"/>
      <c r="AS107" s="413"/>
      <c r="AT107" s="413"/>
      <c r="AU107" s="413"/>
      <c r="AV107" s="413"/>
      <c r="AW107" s="413"/>
      <c r="AX107" s="413"/>
      <c r="AY107" s="414"/>
      <c r="AZ107" s="413"/>
      <c r="BA107" s="413"/>
      <c r="BB107" s="413"/>
      <c r="BC107" s="413"/>
      <c r="BD107" s="413"/>
      <c r="BE107" s="413"/>
      <c r="BF107" s="413"/>
      <c r="BG107" s="413"/>
      <c r="BH107" s="413"/>
      <c r="BI107" s="414"/>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4"/>
      <c r="CN107" s="413"/>
      <c r="CO107" s="413"/>
      <c r="CP107" s="413"/>
      <c r="CQ107" s="413"/>
      <c r="CR107" s="413"/>
      <c r="CS107" s="413"/>
      <c r="CT107" s="413"/>
      <c r="CU107" s="413"/>
      <c r="CV107" s="413"/>
      <c r="CW107" s="414"/>
      <c r="CX107" s="413"/>
      <c r="CY107" s="413"/>
      <c r="CZ107" s="413"/>
      <c r="DA107" s="413"/>
      <c r="DB107" s="413"/>
      <c r="DC107" s="413"/>
      <c r="DD107" s="413"/>
      <c r="DE107" s="413"/>
      <c r="DF107" s="413"/>
      <c r="DG107" s="414"/>
      <c r="DH107" s="413"/>
      <c r="DI107" s="413"/>
      <c r="DJ107" s="413"/>
      <c r="DK107" s="413"/>
      <c r="DL107" s="413"/>
      <c r="DM107" s="413"/>
      <c r="DN107" s="413"/>
      <c r="DO107" s="413"/>
      <c r="DP107" s="413"/>
      <c r="DQ107" s="414"/>
      <c r="DR107" s="413"/>
      <c r="DS107" s="413"/>
      <c r="DT107" s="413"/>
      <c r="DU107" s="413"/>
      <c r="DV107" s="413"/>
      <c r="DW107" s="413"/>
      <c r="DX107" s="413"/>
      <c r="DY107" s="413"/>
      <c r="DZ107" s="413"/>
      <c r="EA107" s="413"/>
      <c r="EB107" s="413"/>
      <c r="EC107" s="413"/>
      <c r="ED107" s="413"/>
      <c r="EE107" s="413"/>
      <c r="EF107" s="413"/>
      <c r="EG107" s="413"/>
      <c r="EH107" s="413"/>
      <c r="EI107" s="413"/>
      <c r="EJ107" s="413"/>
      <c r="EK107" s="413"/>
      <c r="EL107" s="413"/>
      <c r="EM107" s="452"/>
      <c r="EN107" s="413"/>
      <c r="EO107" s="453"/>
      <c r="EP107" s="413"/>
      <c r="EQ107" s="434"/>
      <c r="ER107" s="434"/>
      <c r="ES107" s="434"/>
      <c r="ET107" s="434"/>
      <c r="EU107" s="434"/>
      <c r="EV107" s="434"/>
      <c r="EW107" s="434"/>
      <c r="EX107" s="434"/>
      <c r="EY107" s="434"/>
      <c r="EZ107" s="434"/>
      <c r="FA107" s="434"/>
      <c r="FB107" s="434"/>
      <c r="FC107" s="399"/>
      <c r="FD107" s="399"/>
      <c r="FE107" s="399"/>
      <c r="FF107" s="399"/>
      <c r="FG107" s="415"/>
      <c r="FH107" s="415"/>
      <c r="FI107" s="415"/>
      <c r="FJ107" s="415"/>
      <c r="FK107" s="415"/>
      <c r="FL107" s="415"/>
      <c r="FM107" s="415"/>
    </row>
    <row r="108" spans="1:169">
      <c r="A108" s="410" t="s">
        <v>316</v>
      </c>
      <c r="B108" s="418" t="s">
        <v>1202</v>
      </c>
      <c r="C108" s="412"/>
      <c r="D108" s="412"/>
      <c r="E108" s="412"/>
      <c r="F108" s="412"/>
      <c r="G108" s="412"/>
      <c r="H108" s="412"/>
      <c r="I108" s="412"/>
      <c r="J108" s="412"/>
      <c r="K108" s="412"/>
      <c r="L108" s="412"/>
      <c r="M108" s="413"/>
      <c r="N108" s="413"/>
      <c r="O108" s="413"/>
      <c r="P108" s="413"/>
      <c r="Q108" s="413"/>
      <c r="R108" s="413"/>
      <c r="S108" s="413"/>
      <c r="T108" s="413"/>
      <c r="U108" s="413"/>
      <c r="V108" s="413"/>
      <c r="W108" s="413"/>
      <c r="X108" s="413"/>
      <c r="Y108" s="413"/>
      <c r="Z108" s="413"/>
      <c r="AA108" s="413"/>
      <c r="AB108" s="413"/>
      <c r="AC108" s="413"/>
      <c r="AD108" s="413"/>
      <c r="AE108" s="413"/>
      <c r="AF108" s="413"/>
      <c r="AG108" s="413"/>
      <c r="AH108" s="413"/>
      <c r="AI108" s="413"/>
      <c r="AJ108" s="413"/>
      <c r="AK108" s="413"/>
      <c r="AL108" s="413"/>
      <c r="AM108" s="413"/>
      <c r="AN108" s="413"/>
      <c r="AO108" s="414"/>
      <c r="AP108" s="413"/>
      <c r="AQ108" s="413"/>
      <c r="AR108" s="413"/>
      <c r="AS108" s="413"/>
      <c r="AT108" s="413"/>
      <c r="AU108" s="413"/>
      <c r="AV108" s="413"/>
      <c r="AW108" s="413"/>
      <c r="AX108" s="413"/>
      <c r="AY108" s="414"/>
      <c r="AZ108" s="413"/>
      <c r="BA108" s="413"/>
      <c r="BB108" s="413"/>
      <c r="BC108" s="413"/>
      <c r="BD108" s="413"/>
      <c r="BE108" s="413"/>
      <c r="BF108" s="413"/>
      <c r="BG108" s="413"/>
      <c r="BH108" s="413"/>
      <c r="BI108" s="414"/>
      <c r="BJ108" s="413"/>
      <c r="BK108" s="413"/>
      <c r="BL108" s="413"/>
      <c r="BM108" s="413"/>
      <c r="BN108" s="413"/>
      <c r="BO108" s="413"/>
      <c r="BP108" s="413"/>
      <c r="BQ108" s="413"/>
      <c r="BR108" s="413"/>
      <c r="BS108" s="413"/>
      <c r="BT108" s="413"/>
      <c r="BU108" s="413"/>
      <c r="BV108" s="413"/>
      <c r="BW108" s="413"/>
      <c r="BX108" s="413"/>
      <c r="BY108" s="413"/>
      <c r="BZ108" s="413"/>
      <c r="CA108" s="413"/>
      <c r="CB108" s="413"/>
      <c r="CC108" s="413"/>
      <c r="CD108" s="413"/>
      <c r="CE108" s="413"/>
      <c r="CF108" s="413"/>
      <c r="CG108" s="413"/>
      <c r="CH108" s="413"/>
      <c r="CI108" s="413"/>
      <c r="CJ108" s="413"/>
      <c r="CK108" s="413"/>
      <c r="CL108" s="413"/>
      <c r="CM108" s="414"/>
      <c r="CN108" s="413"/>
      <c r="CO108" s="413"/>
      <c r="CP108" s="413"/>
      <c r="CQ108" s="413"/>
      <c r="CR108" s="413"/>
      <c r="CS108" s="413"/>
      <c r="CT108" s="413"/>
      <c r="CU108" s="413"/>
      <c r="CV108" s="413"/>
      <c r="CW108" s="414"/>
      <c r="CX108" s="413"/>
      <c r="CY108" s="413"/>
      <c r="CZ108" s="413"/>
      <c r="DA108" s="413"/>
      <c r="DB108" s="413"/>
      <c r="DC108" s="413"/>
      <c r="DD108" s="413"/>
      <c r="DE108" s="413"/>
      <c r="DF108" s="413"/>
      <c r="DG108" s="414"/>
      <c r="DH108" s="413"/>
      <c r="DI108" s="413"/>
      <c r="DJ108" s="413"/>
      <c r="DK108" s="413"/>
      <c r="DL108" s="413"/>
      <c r="DM108" s="413"/>
      <c r="DN108" s="413"/>
      <c r="DO108" s="413"/>
      <c r="DP108" s="413"/>
      <c r="DQ108" s="414"/>
      <c r="DR108" s="413"/>
      <c r="DS108" s="413"/>
      <c r="DT108" s="413"/>
      <c r="DU108" s="413"/>
      <c r="DV108" s="413"/>
      <c r="DW108" s="413"/>
      <c r="DX108" s="413"/>
      <c r="DY108" s="413"/>
      <c r="DZ108" s="413"/>
      <c r="EA108" s="413"/>
      <c r="EB108" s="413"/>
      <c r="EC108" s="413"/>
      <c r="ED108" s="413"/>
      <c r="EE108" s="413"/>
      <c r="EF108" s="413"/>
      <c r="EG108" s="413"/>
      <c r="EH108" s="413"/>
      <c r="EI108" s="413"/>
      <c r="EJ108" s="413"/>
      <c r="EK108" s="413"/>
      <c r="EL108" s="413"/>
      <c r="EM108" s="452"/>
      <c r="EN108" s="413"/>
      <c r="EO108" s="453"/>
      <c r="EP108" s="413"/>
      <c r="EQ108" s="434"/>
      <c r="ER108" s="434"/>
      <c r="ES108" s="434"/>
      <c r="ET108" s="434"/>
      <c r="EU108" s="434"/>
      <c r="EV108" s="434"/>
      <c r="EW108" s="434"/>
      <c r="EX108" s="434"/>
      <c r="EY108" s="434"/>
      <c r="EZ108" s="434"/>
      <c r="FA108" s="434"/>
      <c r="FB108" s="434"/>
      <c r="FC108" s="399"/>
      <c r="FD108" s="399"/>
      <c r="FE108" s="399"/>
      <c r="FF108" s="399"/>
      <c r="FG108" s="415"/>
      <c r="FH108" s="415"/>
      <c r="FI108" s="415"/>
      <c r="FJ108" s="415"/>
      <c r="FK108" s="415"/>
      <c r="FL108" s="415"/>
      <c r="FM108" s="415"/>
    </row>
    <row r="109" spans="1:169">
      <c r="A109" s="410" t="s">
        <v>317</v>
      </c>
      <c r="B109" s="418" t="s">
        <v>1203</v>
      </c>
      <c r="C109" s="412"/>
      <c r="D109" s="412"/>
      <c r="E109" s="412"/>
      <c r="F109" s="412"/>
      <c r="G109" s="412"/>
      <c r="H109" s="412"/>
      <c r="I109" s="412"/>
      <c r="J109" s="412"/>
      <c r="K109" s="412"/>
      <c r="L109" s="412"/>
      <c r="M109" s="413"/>
      <c r="N109" s="413"/>
      <c r="O109" s="413"/>
      <c r="P109" s="413"/>
      <c r="Q109" s="413"/>
      <c r="R109" s="413"/>
      <c r="S109" s="413"/>
      <c r="T109" s="413">
        <f>+[3]Data!$D$145</f>
        <v>4.8640200000000001E-2</v>
      </c>
      <c r="U109" s="413"/>
      <c r="V109" s="413"/>
      <c r="W109" s="413">
        <f>+T109</f>
        <v>4.8640200000000001E-2</v>
      </c>
      <c r="X109" s="413"/>
      <c r="Y109" s="413"/>
      <c r="Z109" s="413"/>
      <c r="AA109" s="413"/>
      <c r="AB109" s="413"/>
      <c r="AC109" s="413"/>
      <c r="AD109" s="413">
        <f>+[3]Data!$E$145</f>
        <v>6.9137500000000005E-2</v>
      </c>
      <c r="AE109" s="413"/>
      <c r="AF109" s="413"/>
      <c r="AG109" s="413">
        <f>+AD109</f>
        <v>6.9137500000000005E-2</v>
      </c>
      <c r="AH109" s="413"/>
      <c r="AI109" s="413"/>
      <c r="AJ109" s="413"/>
      <c r="AK109" s="413"/>
      <c r="AL109" s="413"/>
      <c r="AM109" s="413"/>
      <c r="AN109" s="413">
        <f>+[3]Data!$F$145</f>
        <v>7.6937599999999995E-2</v>
      </c>
      <c r="AO109" s="414"/>
      <c r="AP109" s="413"/>
      <c r="AQ109" s="413">
        <f>+AN109</f>
        <v>7.6937599999999995E-2</v>
      </c>
      <c r="AR109" s="413"/>
      <c r="AS109" s="413"/>
      <c r="AT109" s="413"/>
      <c r="AU109" s="413"/>
      <c r="AV109" s="413"/>
      <c r="AW109" s="413"/>
      <c r="AX109" s="413">
        <f>+[3]Data!$G$145</f>
        <v>8.2682000000000005E-2</v>
      </c>
      <c r="AY109" s="414"/>
      <c r="AZ109" s="413"/>
      <c r="BA109" s="413">
        <f>+AX109</f>
        <v>8.2682000000000005E-2</v>
      </c>
      <c r="BB109" s="413"/>
      <c r="BC109" s="413"/>
      <c r="BD109" s="413"/>
      <c r="BE109" s="413"/>
      <c r="BF109" s="413"/>
      <c r="BG109" s="413"/>
      <c r="BH109" s="413">
        <f>+[3]Data!$H$145</f>
        <v>8.3256899999999995E-2</v>
      </c>
      <c r="BI109" s="414"/>
      <c r="BJ109" s="413"/>
      <c r="BK109" s="413">
        <f>+BH109</f>
        <v>8.3256899999999995E-2</v>
      </c>
      <c r="BL109" s="413"/>
      <c r="BM109" s="413"/>
      <c r="BN109" s="413"/>
      <c r="BO109" s="413"/>
      <c r="BP109" s="413"/>
      <c r="BQ109" s="413"/>
      <c r="BR109" s="413">
        <f>+[3]Data!$I$145</f>
        <v>8.7243600000000004E-2</v>
      </c>
      <c r="BS109" s="413"/>
      <c r="BT109" s="413"/>
      <c r="BU109" s="413">
        <f>+BR109</f>
        <v>8.7243600000000004E-2</v>
      </c>
      <c r="BV109" s="413"/>
      <c r="BW109" s="413"/>
      <c r="BX109" s="413"/>
      <c r="BY109" s="413"/>
      <c r="BZ109" s="413"/>
      <c r="CA109" s="413"/>
      <c r="CB109" s="413">
        <f>+[3]Data!$J$145</f>
        <v>8.8808300000000007E-2</v>
      </c>
      <c r="CC109" s="413"/>
      <c r="CD109" s="413"/>
      <c r="CE109" s="413">
        <f>+CB109</f>
        <v>8.8808300000000007E-2</v>
      </c>
      <c r="CF109" s="413"/>
      <c r="CG109" s="413"/>
      <c r="CH109" s="413"/>
      <c r="CI109" s="413"/>
      <c r="CJ109" s="413"/>
      <c r="CK109" s="413"/>
      <c r="CL109" s="413">
        <f>+[3]Data!$K$145</f>
        <v>8.0831299999999995E-2</v>
      </c>
      <c r="CM109" s="414"/>
      <c r="CN109" s="413"/>
      <c r="CO109" s="413">
        <f>+CL109</f>
        <v>8.0831299999999995E-2</v>
      </c>
      <c r="CP109" s="413"/>
      <c r="CQ109" s="413"/>
      <c r="CR109" s="413"/>
      <c r="CS109" s="413"/>
      <c r="CT109" s="413"/>
      <c r="CU109" s="413"/>
      <c r="CV109" s="413">
        <f>+[3]Data!$L$145</f>
        <v>8.2069600000000006E-2</v>
      </c>
      <c r="CW109" s="414"/>
      <c r="CX109" s="413"/>
      <c r="CY109" s="413">
        <f>+CV109</f>
        <v>8.2069600000000006E-2</v>
      </c>
      <c r="CZ109" s="413"/>
      <c r="DA109" s="413"/>
      <c r="DB109" s="413"/>
      <c r="DC109" s="413"/>
      <c r="DD109" s="413"/>
      <c r="DE109" s="413"/>
      <c r="DF109" s="413">
        <f>+[3]Data!$M$145</f>
        <v>8.3758299999999994E-2</v>
      </c>
      <c r="DG109" s="414"/>
      <c r="DH109" s="413"/>
      <c r="DI109" s="413">
        <f>+DF109</f>
        <v>8.3758299999999994E-2</v>
      </c>
      <c r="DJ109" s="413"/>
      <c r="DK109" s="413"/>
      <c r="DL109" s="413"/>
      <c r="DM109" s="413"/>
      <c r="DN109" s="413"/>
      <c r="DO109" s="413"/>
      <c r="DP109" s="413">
        <f>+[3]Data!$N$145</f>
        <v>7.5466599999999995E-2</v>
      </c>
      <c r="DQ109" s="414"/>
      <c r="DR109" s="413"/>
      <c r="DS109" s="413">
        <f>+DP109</f>
        <v>7.5466599999999995E-2</v>
      </c>
      <c r="DT109" s="413"/>
      <c r="DU109" s="413"/>
      <c r="DV109" s="413"/>
      <c r="DW109" s="413"/>
      <c r="DX109" s="413"/>
      <c r="DY109" s="413"/>
      <c r="DZ109" s="413">
        <f>+[3]Data!$O$145</f>
        <v>8.3775500000000003E-2</v>
      </c>
      <c r="EA109" s="413"/>
      <c r="EB109" s="413"/>
      <c r="EC109" s="413">
        <f>+DZ109</f>
        <v>8.3775500000000003E-2</v>
      </c>
      <c r="ED109" s="413"/>
      <c r="EE109" s="413"/>
      <c r="EF109" s="413"/>
      <c r="EG109" s="413"/>
      <c r="EH109" s="413"/>
      <c r="EI109" s="413"/>
      <c r="EJ109" s="413"/>
      <c r="EK109" s="413">
        <f t="shared" ref="EK109" si="41">T109+AD109+AN109+AX109+BH109+BR109+CB109+CL109+CV109+DF109+DP109+DZ109</f>
        <v>0.94260739999999998</v>
      </c>
      <c r="EL109" s="413"/>
      <c r="EM109" s="413"/>
      <c r="EN109" s="807">
        <f t="shared" ref="EN109" si="42">+EG109+EI109+EK109+EL109</f>
        <v>0.94260739999999998</v>
      </c>
      <c r="EO109" s="453"/>
      <c r="EP109" s="413"/>
      <c r="EQ109" s="434"/>
      <c r="ER109" s="434"/>
      <c r="ES109" s="434"/>
      <c r="ET109" s="434"/>
      <c r="EU109" s="434"/>
      <c r="EV109" s="434"/>
      <c r="EW109" s="434"/>
      <c r="EX109" s="434"/>
      <c r="EY109" s="434"/>
      <c r="EZ109" s="434"/>
      <c r="FA109" s="434"/>
      <c r="FB109" s="434"/>
      <c r="FC109" s="399"/>
      <c r="FD109" s="399"/>
      <c r="FE109" s="399"/>
      <c r="FF109" s="399"/>
      <c r="FG109" s="415"/>
      <c r="FH109" s="415"/>
      <c r="FI109" s="415"/>
      <c r="FJ109" s="415"/>
      <c r="FK109" s="415"/>
      <c r="FL109" s="415"/>
      <c r="FM109" s="415"/>
    </row>
    <row r="110" spans="1:169">
      <c r="A110" s="410" t="s">
        <v>1008</v>
      </c>
      <c r="B110" s="418" t="s">
        <v>603</v>
      </c>
      <c r="C110" s="412"/>
      <c r="D110" s="412"/>
      <c r="E110" s="412"/>
      <c r="F110" s="412"/>
      <c r="G110" s="412"/>
      <c r="H110" s="412"/>
      <c r="I110" s="412"/>
      <c r="J110" s="412"/>
      <c r="K110" s="412"/>
      <c r="L110" s="412"/>
      <c r="M110" s="413"/>
      <c r="N110" s="413"/>
      <c r="O110" s="413"/>
      <c r="P110" s="413"/>
      <c r="Q110" s="413"/>
      <c r="R110" s="413"/>
      <c r="S110" s="413"/>
      <c r="T110" s="413"/>
      <c r="U110" s="413"/>
      <c r="V110" s="413"/>
      <c r="W110" s="413"/>
      <c r="X110" s="413"/>
      <c r="Y110" s="413"/>
      <c r="Z110" s="413"/>
      <c r="AA110" s="413"/>
      <c r="AB110" s="413"/>
      <c r="AC110" s="413"/>
      <c r="AD110" s="413"/>
      <c r="AE110" s="413"/>
      <c r="AF110" s="413"/>
      <c r="AG110" s="413"/>
      <c r="AH110" s="413"/>
      <c r="AI110" s="413"/>
      <c r="AJ110" s="413"/>
      <c r="AK110" s="413"/>
      <c r="AL110" s="413"/>
      <c r="AM110" s="413"/>
      <c r="AN110" s="413"/>
      <c r="AO110" s="414"/>
      <c r="AP110" s="413"/>
      <c r="AQ110" s="413"/>
      <c r="AR110" s="413"/>
      <c r="AS110" s="413"/>
      <c r="AT110" s="413"/>
      <c r="AU110" s="413"/>
      <c r="AV110" s="413"/>
      <c r="AW110" s="413"/>
      <c r="AX110" s="413"/>
      <c r="AY110" s="414"/>
      <c r="AZ110" s="413"/>
      <c r="BA110" s="413"/>
      <c r="BB110" s="413"/>
      <c r="BC110" s="413"/>
      <c r="BD110" s="413"/>
      <c r="BE110" s="413"/>
      <c r="BF110" s="413"/>
      <c r="BG110" s="413"/>
      <c r="BH110" s="413"/>
      <c r="BI110" s="414"/>
      <c r="BJ110" s="413"/>
      <c r="BK110" s="413"/>
      <c r="BL110" s="413"/>
      <c r="BM110" s="413"/>
      <c r="BN110" s="413"/>
      <c r="BO110" s="413"/>
      <c r="BP110" s="413"/>
      <c r="BQ110" s="413"/>
      <c r="BR110" s="413"/>
      <c r="BS110" s="413"/>
      <c r="BT110" s="413"/>
      <c r="BU110" s="413"/>
      <c r="BV110" s="413"/>
      <c r="BW110" s="413"/>
      <c r="BX110" s="413"/>
      <c r="BY110" s="413"/>
      <c r="BZ110" s="413"/>
      <c r="CA110" s="413"/>
      <c r="CB110" s="413"/>
      <c r="CC110" s="413"/>
      <c r="CD110" s="413"/>
      <c r="CE110" s="413"/>
      <c r="CF110" s="413"/>
      <c r="CG110" s="413"/>
      <c r="CH110" s="413"/>
      <c r="CI110" s="413"/>
      <c r="CJ110" s="413"/>
      <c r="CK110" s="413"/>
      <c r="CL110" s="413"/>
      <c r="CM110" s="414"/>
      <c r="CN110" s="413"/>
      <c r="CO110" s="413"/>
      <c r="CP110" s="413"/>
      <c r="CQ110" s="413"/>
      <c r="CR110" s="413"/>
      <c r="CS110" s="413"/>
      <c r="CT110" s="413"/>
      <c r="CU110" s="413"/>
      <c r="CV110" s="413"/>
      <c r="CW110" s="414"/>
      <c r="CX110" s="413"/>
      <c r="CY110" s="413"/>
      <c r="CZ110" s="413"/>
      <c r="DA110" s="413"/>
      <c r="DB110" s="413"/>
      <c r="DC110" s="413"/>
      <c r="DD110" s="413"/>
      <c r="DE110" s="413"/>
      <c r="DF110" s="413"/>
      <c r="DG110" s="414"/>
      <c r="DH110" s="413"/>
      <c r="DI110" s="413"/>
      <c r="DJ110" s="413"/>
      <c r="DK110" s="413"/>
      <c r="DL110" s="413"/>
      <c r="DM110" s="413"/>
      <c r="DN110" s="413"/>
      <c r="DO110" s="413"/>
      <c r="DP110" s="413"/>
      <c r="DQ110" s="414"/>
      <c r="DR110" s="413"/>
      <c r="DS110" s="413"/>
      <c r="DT110" s="413"/>
      <c r="DU110" s="413"/>
      <c r="DV110" s="413"/>
      <c r="DW110" s="413"/>
      <c r="DX110" s="413"/>
      <c r="DY110" s="413"/>
      <c r="DZ110" s="413"/>
      <c r="EA110" s="413"/>
      <c r="EB110" s="413"/>
      <c r="EC110" s="413"/>
      <c r="ED110" s="413"/>
      <c r="EE110" s="413"/>
      <c r="EF110" s="413"/>
      <c r="EG110" s="413"/>
      <c r="EH110" s="413"/>
      <c r="EI110" s="413"/>
      <c r="EJ110" s="413"/>
      <c r="EK110" s="413"/>
      <c r="EL110" s="413"/>
      <c r="EM110" s="452"/>
      <c r="EN110" s="413"/>
      <c r="EO110" s="453"/>
      <c r="EP110" s="413"/>
      <c r="EQ110" s="434"/>
      <c r="ER110" s="434"/>
      <c r="ES110" s="434"/>
      <c r="ET110" s="434"/>
      <c r="EU110" s="434"/>
      <c r="EV110" s="434"/>
      <c r="EW110" s="434"/>
      <c r="EX110" s="434"/>
      <c r="EY110" s="434"/>
      <c r="EZ110" s="434"/>
      <c r="FA110" s="434"/>
      <c r="FB110" s="434"/>
      <c r="FC110" s="399"/>
      <c r="FD110" s="399"/>
      <c r="FE110" s="399"/>
      <c r="FF110" s="399"/>
      <c r="FG110" s="415"/>
      <c r="FH110" s="415"/>
      <c r="FI110" s="415"/>
      <c r="FJ110" s="415"/>
      <c r="FK110" s="415"/>
      <c r="FL110" s="415"/>
      <c r="FM110" s="415"/>
    </row>
    <row r="111" spans="1:169">
      <c r="A111" s="410"/>
      <c r="B111" s="464" t="s">
        <v>1353</v>
      </c>
      <c r="C111" s="412"/>
      <c r="D111" s="412"/>
      <c r="E111" s="412"/>
      <c r="F111" s="412"/>
      <c r="G111" s="412"/>
      <c r="H111" s="412"/>
      <c r="I111" s="412"/>
      <c r="J111" s="412"/>
      <c r="K111" s="412"/>
      <c r="L111" s="412"/>
      <c r="M111" s="413"/>
      <c r="N111" s="413"/>
      <c r="O111" s="413"/>
      <c r="P111" s="413"/>
      <c r="Q111" s="413"/>
      <c r="R111" s="413"/>
      <c r="S111" s="413"/>
      <c r="T111" s="413"/>
      <c r="U111" s="413"/>
      <c r="V111" s="413"/>
      <c r="W111" s="413"/>
      <c r="X111" s="413"/>
      <c r="Y111" s="413"/>
      <c r="Z111" s="413"/>
      <c r="AA111" s="413"/>
      <c r="AB111" s="413"/>
      <c r="AC111" s="413"/>
      <c r="AD111" s="413"/>
      <c r="AE111" s="413"/>
      <c r="AF111" s="413"/>
      <c r="AG111" s="413"/>
      <c r="AH111" s="413"/>
      <c r="AI111" s="413"/>
      <c r="AJ111" s="413"/>
      <c r="AK111" s="413"/>
      <c r="AL111" s="413"/>
      <c r="AM111" s="413"/>
      <c r="AN111" s="413"/>
      <c r="AO111" s="414"/>
      <c r="AP111" s="413"/>
      <c r="AQ111" s="413"/>
      <c r="AR111" s="413"/>
      <c r="AS111" s="413"/>
      <c r="AT111" s="413"/>
      <c r="AU111" s="413"/>
      <c r="AV111" s="413"/>
      <c r="AW111" s="413"/>
      <c r="AX111" s="413"/>
      <c r="AY111" s="414"/>
      <c r="AZ111" s="413"/>
      <c r="BA111" s="413"/>
      <c r="BB111" s="413"/>
      <c r="BC111" s="413"/>
      <c r="BD111" s="413"/>
      <c r="BE111" s="413"/>
      <c r="BF111" s="413"/>
      <c r="BG111" s="413"/>
      <c r="BH111" s="413"/>
      <c r="BI111" s="414"/>
      <c r="BJ111" s="413"/>
      <c r="BK111" s="413"/>
      <c r="BL111" s="413"/>
      <c r="BM111" s="413"/>
      <c r="BN111" s="413"/>
      <c r="BO111" s="413"/>
      <c r="BP111" s="413"/>
      <c r="BQ111" s="413"/>
      <c r="BR111" s="413"/>
      <c r="BS111" s="413"/>
      <c r="BT111" s="413"/>
      <c r="BU111" s="413"/>
      <c r="BV111" s="413"/>
      <c r="BW111" s="413"/>
      <c r="BX111" s="413"/>
      <c r="BY111" s="413"/>
      <c r="BZ111" s="413"/>
      <c r="CA111" s="413"/>
      <c r="CB111" s="413"/>
      <c r="CC111" s="413"/>
      <c r="CD111" s="413"/>
      <c r="CE111" s="413"/>
      <c r="CF111" s="413"/>
      <c r="CG111" s="413"/>
      <c r="CH111" s="413"/>
      <c r="CI111" s="413"/>
      <c r="CJ111" s="413"/>
      <c r="CK111" s="413"/>
      <c r="CL111" s="413"/>
      <c r="CM111" s="414"/>
      <c r="CN111" s="413"/>
      <c r="CO111" s="413"/>
      <c r="CP111" s="413"/>
      <c r="CQ111" s="413"/>
      <c r="CR111" s="413"/>
      <c r="CS111" s="413"/>
      <c r="CT111" s="413"/>
      <c r="CU111" s="413"/>
      <c r="CV111" s="413"/>
      <c r="CW111" s="414"/>
      <c r="CX111" s="413"/>
      <c r="CY111" s="413"/>
      <c r="CZ111" s="413"/>
      <c r="DA111" s="413"/>
      <c r="DB111" s="413"/>
      <c r="DC111" s="413"/>
      <c r="DD111" s="413"/>
      <c r="DE111" s="413"/>
      <c r="DF111" s="413"/>
      <c r="DG111" s="414"/>
      <c r="DH111" s="413"/>
      <c r="DI111" s="413"/>
      <c r="DJ111" s="413"/>
      <c r="DK111" s="413"/>
      <c r="DL111" s="413"/>
      <c r="DM111" s="413"/>
      <c r="DN111" s="413"/>
      <c r="DO111" s="413"/>
      <c r="DP111" s="413"/>
      <c r="DQ111" s="414"/>
      <c r="DR111" s="413"/>
      <c r="DS111" s="413"/>
      <c r="DT111" s="413"/>
      <c r="DU111" s="413"/>
      <c r="DV111" s="413"/>
      <c r="DW111" s="413"/>
      <c r="DX111" s="413"/>
      <c r="DY111" s="413"/>
      <c r="DZ111" s="413"/>
      <c r="EA111" s="413"/>
      <c r="EB111" s="413"/>
      <c r="EC111" s="413"/>
      <c r="ED111" s="413"/>
      <c r="EE111" s="413"/>
      <c r="EF111" s="413"/>
      <c r="EG111" s="413"/>
      <c r="EH111" s="413"/>
      <c r="EI111" s="413"/>
      <c r="EJ111" s="413"/>
      <c r="EK111" s="413"/>
      <c r="EL111" s="413"/>
      <c r="EM111" s="452"/>
      <c r="EN111" s="413"/>
      <c r="EO111" s="453"/>
      <c r="EP111" s="413"/>
      <c r="EQ111" s="434"/>
      <c r="ER111" s="434"/>
      <c r="ES111" s="434"/>
      <c r="ET111" s="434"/>
      <c r="EU111" s="434"/>
      <c r="EV111" s="434"/>
      <c r="EW111" s="434"/>
      <c r="EX111" s="434"/>
      <c r="EY111" s="434"/>
      <c r="EZ111" s="434"/>
      <c r="FA111" s="434"/>
      <c r="FB111" s="434"/>
      <c r="FC111" s="399"/>
      <c r="FD111" s="399"/>
      <c r="FE111" s="399"/>
      <c r="FF111" s="399"/>
      <c r="FG111" s="415"/>
      <c r="FH111" s="415"/>
      <c r="FI111" s="415"/>
      <c r="FJ111" s="415"/>
      <c r="FK111" s="415"/>
      <c r="FL111" s="415"/>
      <c r="FM111" s="415"/>
    </row>
    <row r="112" spans="1:169">
      <c r="A112" s="410"/>
      <c r="B112" s="464" t="s">
        <v>1354</v>
      </c>
      <c r="C112" s="412"/>
      <c r="D112" s="412"/>
      <c r="E112" s="412"/>
      <c r="F112" s="412"/>
      <c r="G112" s="412"/>
      <c r="H112" s="412"/>
      <c r="I112" s="412"/>
      <c r="J112" s="412"/>
      <c r="K112" s="412"/>
      <c r="L112" s="412"/>
      <c r="M112" s="413"/>
      <c r="N112" s="413"/>
      <c r="O112" s="413"/>
      <c r="P112" s="413"/>
      <c r="Q112" s="413"/>
      <c r="R112" s="413"/>
      <c r="S112" s="413"/>
      <c r="T112" s="413"/>
      <c r="U112" s="413"/>
      <c r="V112" s="413"/>
      <c r="W112" s="413"/>
      <c r="X112" s="413"/>
      <c r="Y112" s="413"/>
      <c r="Z112" s="413"/>
      <c r="AA112" s="413"/>
      <c r="AB112" s="413"/>
      <c r="AC112" s="413"/>
      <c r="AD112" s="413"/>
      <c r="AE112" s="413"/>
      <c r="AF112" s="413"/>
      <c r="AG112" s="413"/>
      <c r="AH112" s="413"/>
      <c r="AI112" s="413"/>
      <c r="AJ112" s="413"/>
      <c r="AK112" s="413"/>
      <c r="AL112" s="413"/>
      <c r="AM112" s="413"/>
      <c r="AN112" s="413"/>
      <c r="AO112" s="414"/>
      <c r="AP112" s="413"/>
      <c r="AQ112" s="413"/>
      <c r="AR112" s="413"/>
      <c r="AS112" s="413"/>
      <c r="AT112" s="413"/>
      <c r="AU112" s="413"/>
      <c r="AV112" s="413"/>
      <c r="AW112" s="413"/>
      <c r="AX112" s="413"/>
      <c r="AY112" s="414"/>
      <c r="AZ112" s="413"/>
      <c r="BA112" s="413"/>
      <c r="BB112" s="413"/>
      <c r="BC112" s="413"/>
      <c r="BD112" s="413"/>
      <c r="BE112" s="413"/>
      <c r="BF112" s="413"/>
      <c r="BG112" s="413"/>
      <c r="BH112" s="413"/>
      <c r="BI112" s="414"/>
      <c r="BJ112" s="413"/>
      <c r="BK112" s="413"/>
      <c r="BL112" s="413"/>
      <c r="BM112" s="413"/>
      <c r="BN112" s="413"/>
      <c r="BO112" s="413"/>
      <c r="BP112" s="413"/>
      <c r="BQ112" s="413"/>
      <c r="BR112" s="413"/>
      <c r="BS112" s="413"/>
      <c r="BT112" s="413"/>
      <c r="BU112" s="413"/>
      <c r="BV112" s="413"/>
      <c r="BW112" s="413"/>
      <c r="BX112" s="413"/>
      <c r="BY112" s="413"/>
      <c r="BZ112" s="413"/>
      <c r="CA112" s="413"/>
      <c r="CB112" s="413"/>
      <c r="CC112" s="413"/>
      <c r="CD112" s="413"/>
      <c r="CE112" s="413"/>
      <c r="CF112" s="413"/>
      <c r="CG112" s="413"/>
      <c r="CH112" s="413"/>
      <c r="CI112" s="413"/>
      <c r="CJ112" s="413"/>
      <c r="CK112" s="413"/>
      <c r="CL112" s="413"/>
      <c r="CM112" s="414"/>
      <c r="CN112" s="413"/>
      <c r="CO112" s="413"/>
      <c r="CP112" s="413"/>
      <c r="CQ112" s="413"/>
      <c r="CR112" s="413"/>
      <c r="CS112" s="413"/>
      <c r="CT112" s="413"/>
      <c r="CU112" s="413"/>
      <c r="CV112" s="413"/>
      <c r="CW112" s="414"/>
      <c r="CX112" s="413"/>
      <c r="CY112" s="413"/>
      <c r="CZ112" s="413"/>
      <c r="DA112" s="413"/>
      <c r="DB112" s="413"/>
      <c r="DC112" s="413"/>
      <c r="DD112" s="413"/>
      <c r="DE112" s="413"/>
      <c r="DF112" s="413"/>
      <c r="DG112" s="414"/>
      <c r="DH112" s="413"/>
      <c r="DI112" s="413"/>
      <c r="DJ112" s="413"/>
      <c r="DK112" s="413"/>
      <c r="DL112" s="413"/>
      <c r="DM112" s="413"/>
      <c r="DN112" s="413"/>
      <c r="DO112" s="413"/>
      <c r="DP112" s="413"/>
      <c r="DQ112" s="414"/>
      <c r="DR112" s="413"/>
      <c r="DS112" s="413"/>
      <c r="DT112" s="413"/>
      <c r="DU112" s="413"/>
      <c r="DV112" s="413"/>
      <c r="DW112" s="413"/>
      <c r="DX112" s="413"/>
      <c r="DY112" s="413"/>
      <c r="DZ112" s="413"/>
      <c r="EA112" s="413"/>
      <c r="EB112" s="413"/>
      <c r="EC112" s="413"/>
      <c r="ED112" s="413"/>
      <c r="EE112" s="413"/>
      <c r="EF112" s="413"/>
      <c r="EG112" s="413"/>
      <c r="EH112" s="413"/>
      <c r="EI112" s="413"/>
      <c r="EJ112" s="413"/>
      <c r="EK112" s="413"/>
      <c r="EL112" s="413"/>
      <c r="EM112" s="452"/>
      <c r="EN112" s="413"/>
      <c r="EO112" s="453"/>
      <c r="EP112" s="413"/>
      <c r="EQ112" s="434"/>
      <c r="ER112" s="434"/>
      <c r="ES112" s="434"/>
      <c r="ET112" s="434"/>
      <c r="EU112" s="434"/>
      <c r="EV112" s="434"/>
      <c r="EW112" s="434"/>
      <c r="EX112" s="434"/>
      <c r="EY112" s="434"/>
      <c r="EZ112" s="434"/>
      <c r="FA112" s="434"/>
      <c r="FB112" s="434"/>
      <c r="FC112" s="399"/>
      <c r="FD112" s="399"/>
      <c r="FE112" s="399"/>
      <c r="FF112" s="399"/>
      <c r="FG112" s="415"/>
      <c r="FH112" s="415"/>
      <c r="FI112" s="415"/>
      <c r="FJ112" s="415"/>
      <c r="FK112" s="415"/>
      <c r="FL112" s="415"/>
      <c r="FM112" s="415"/>
    </row>
    <row r="113" spans="1:169">
      <c r="A113" s="410"/>
      <c r="B113" s="419" t="s">
        <v>79</v>
      </c>
      <c r="C113" s="412"/>
      <c r="D113" s="412"/>
      <c r="E113" s="412"/>
      <c r="F113" s="412"/>
      <c r="G113" s="412"/>
      <c r="H113" s="412"/>
      <c r="I113" s="412"/>
      <c r="J113" s="807">
        <f>SUM(J9:J110)</f>
        <v>39.51214236727953</v>
      </c>
      <c r="K113" s="412"/>
      <c r="L113" s="412"/>
      <c r="M113" s="807">
        <f>SUM(M9:M110)</f>
        <v>38.255656240000043</v>
      </c>
      <c r="N113" s="807">
        <f>SUM(N9:N110)</f>
        <v>1.8868840322247471</v>
      </c>
      <c r="O113" s="413"/>
      <c r="P113" s="413"/>
      <c r="Q113" s="807">
        <f>+R113/N113*10</f>
        <v>6.7110041707596153</v>
      </c>
      <c r="R113" s="807">
        <f>SUM(R9:R110)</f>
        <v>1.2662886609999999</v>
      </c>
      <c r="S113" s="807">
        <f>IFERROR(+T113/N113*10,0)</f>
        <v>0.57275629108258552</v>
      </c>
      <c r="T113" s="807">
        <f>SUM(T9:T110)</f>
        <v>0.10807247</v>
      </c>
      <c r="U113" s="413"/>
      <c r="V113" s="807">
        <f>IFERROR(+W113/N113*10,0)</f>
        <v>7.2837604618422009</v>
      </c>
      <c r="W113" s="807">
        <f>SUM(W9:W110)</f>
        <v>1.3743611309999999</v>
      </c>
      <c r="X113" s="807">
        <f>SUM(X9:X110)</f>
        <v>2.8017242718446709</v>
      </c>
      <c r="Y113" s="413"/>
      <c r="Z113" s="413"/>
      <c r="AA113" s="807">
        <f>+AB113/X113*10</f>
        <v>6.5474499701293256</v>
      </c>
      <c r="AB113" s="807">
        <f>SUM(AB9:AB110)</f>
        <v>1.8344149499999995</v>
      </c>
      <c r="AC113" s="807">
        <f>IFERROR(+AD113/X113*10,0)</f>
        <v>0.18763063206568981</v>
      </c>
      <c r="AD113" s="807">
        <f>SUM(AD9:AD110)</f>
        <v>5.2568929600000008E-2</v>
      </c>
      <c r="AE113" s="413"/>
      <c r="AF113" s="807">
        <f>IFERROR(+AG113/X113*10,0)</f>
        <v>6.7350806021950156</v>
      </c>
      <c r="AG113" s="807">
        <f>SUM(AG9:AG110)</f>
        <v>1.8869838795999998</v>
      </c>
      <c r="AH113" s="807">
        <f>SUM(AH9:AH110)</f>
        <v>3.0387505887213382</v>
      </c>
      <c r="AI113" s="413"/>
      <c r="AJ113" s="413"/>
      <c r="AK113" s="807">
        <f>+AL113/AH113*10</f>
        <v>6.5467664552131293</v>
      </c>
      <c r="AL113" s="807">
        <f>SUM(AL9:AL110)</f>
        <v>1.9893990420000003</v>
      </c>
      <c r="AM113" s="807">
        <f>IFERROR(+AN113/AH113*10,0)</f>
        <v>0.12731794489352824</v>
      </c>
      <c r="AN113" s="807">
        <f>SUM(AN9:AN110)</f>
        <v>3.8688747999999988E-2</v>
      </c>
      <c r="AO113" s="413"/>
      <c r="AP113" s="807">
        <f>IFERROR(+AQ113/AH113*10,0)</f>
        <v>6.6740844001066568</v>
      </c>
      <c r="AQ113" s="807">
        <f>SUM(AQ9:AQ110)</f>
        <v>2.0280877900000003</v>
      </c>
      <c r="AR113" s="807">
        <f>SUM(AR9:AR110)</f>
        <v>3.3575705432761827</v>
      </c>
      <c r="AS113" s="413"/>
      <c r="AT113" s="413"/>
      <c r="AU113" s="807">
        <f>+AV113/AR113*10</f>
        <v>6.584133147781662</v>
      </c>
      <c r="AV113" s="807">
        <f>SUM(AV9:AV110)</f>
        <v>2.2106691509999998</v>
      </c>
      <c r="AW113" s="807">
        <f>IFERROR(+AX113/AR113*10,0)</f>
        <v>0.12494421028326631</v>
      </c>
      <c r="AX113" s="807">
        <f>SUM(AX9:AX110)</f>
        <v>4.1950900000000006E-2</v>
      </c>
      <c r="AY113" s="413"/>
      <c r="AZ113" s="807">
        <f>IFERROR(+BA113/AR113*10,0)</f>
        <v>6.7090773580649277</v>
      </c>
      <c r="BA113" s="807">
        <f>SUM(BA9:BA110)</f>
        <v>2.2526200509999996</v>
      </c>
      <c r="BB113" s="807">
        <f>SUM(BB9:BB110)</f>
        <v>3.3694610204503306</v>
      </c>
      <c r="BC113" s="413"/>
      <c r="BD113" s="413"/>
      <c r="BE113" s="807">
        <f>+BF113/BB113*10</f>
        <v>6.4751373491431714</v>
      </c>
      <c r="BF113" s="807">
        <f>SUM(BF9:BF110)</f>
        <v>2.1817722900000001</v>
      </c>
      <c r="BG113" s="807">
        <f>IFERROR(+BH113/BB113*10,0)</f>
        <v>0.29501780669572619</v>
      </c>
      <c r="BH113" s="807">
        <f>SUM(BH9:BH110)</f>
        <v>9.9405099999999996E-2</v>
      </c>
      <c r="BI113" s="413"/>
      <c r="BJ113" s="807">
        <f>IFERROR(+BK113/BB113*10,0)</f>
        <v>6.7701551558388982</v>
      </c>
      <c r="BK113" s="807">
        <f>SUM(BK9:BK110)</f>
        <v>2.2811773900000003</v>
      </c>
      <c r="BL113" s="807">
        <f>SUM(BL9:BL110)</f>
        <v>3.4238191282792814</v>
      </c>
      <c r="BM113" s="413"/>
      <c r="BN113" s="413"/>
      <c r="BO113" s="807">
        <f>+BP113/BL113*10</f>
        <v>6.5695036353466083</v>
      </c>
      <c r="BP113" s="807">
        <f>SUM(BP9:BP110)</f>
        <v>2.2492792209999997</v>
      </c>
      <c r="BQ113" s="807">
        <f>IFERROR(+BR113/BL113*10,0)</f>
        <v>0.24065435968695534</v>
      </c>
      <c r="BR113" s="807">
        <f>SUM(BR9:BR110)</f>
        <v>8.2395700000000002E-2</v>
      </c>
      <c r="BS113" s="413"/>
      <c r="BT113" s="807">
        <f>IFERROR(+BU113/BL113*10,0)</f>
        <v>6.8101579950335642</v>
      </c>
      <c r="BU113" s="807">
        <f>SUM(BU9:BU110)</f>
        <v>2.3316749209999998</v>
      </c>
      <c r="BV113" s="807">
        <f>SUM(BV9:BV110)</f>
        <v>3.6023401776492463</v>
      </c>
      <c r="BW113" s="413"/>
      <c r="BX113" s="413"/>
      <c r="BY113" s="807">
        <f>+BZ113/BV113*10</f>
        <v>6.5178530044660752</v>
      </c>
      <c r="BZ113" s="807">
        <f>SUM(BZ9:BZ110)</f>
        <v>2.3479523749999998</v>
      </c>
      <c r="CA113" s="807">
        <f>IFERROR(+CB113/BV113*10,0)</f>
        <v>0.21711247728702232</v>
      </c>
      <c r="CB113" s="807">
        <f>SUM(CB9:CB110)</f>
        <v>7.8211299999999997E-2</v>
      </c>
      <c r="CC113" s="413"/>
      <c r="CD113" s="807">
        <f>IFERROR(+CE113/BV113*10,0)</f>
        <v>6.7349654817530986</v>
      </c>
      <c r="CE113" s="807">
        <f>SUM(CE9:CE110)</f>
        <v>2.4261636750000002</v>
      </c>
      <c r="CF113" s="807">
        <f>SUM(CF9:CF110)</f>
        <v>3.5147729394753258</v>
      </c>
      <c r="CG113" s="413"/>
      <c r="CH113" s="413"/>
      <c r="CI113" s="807">
        <f>+CJ113/CF113*10</f>
        <v>5.6150543633541448</v>
      </c>
      <c r="CJ113" s="807">
        <f>SUM(CJ9:CJ110)</f>
        <v>1.9735641130000001</v>
      </c>
      <c r="CK113" s="807">
        <f>IFERROR(+CL113/CF113*10,0)</f>
        <v>0.22229060410275894</v>
      </c>
      <c r="CL113" s="807">
        <f>SUM(CL9:CL110)</f>
        <v>7.8130099999999994E-2</v>
      </c>
      <c r="CM113" s="413"/>
      <c r="CN113" s="807">
        <f>IFERROR(+CO113/CF113*10,0)</f>
        <v>5.8373449674569047</v>
      </c>
      <c r="CO113" s="807">
        <f>SUM(CO9:CO110)</f>
        <v>2.0516942130000002</v>
      </c>
      <c r="CP113" s="807">
        <f>SUM(CP9:CP110)</f>
        <v>3.5053253460028921</v>
      </c>
      <c r="CQ113" s="413"/>
      <c r="CR113" s="413"/>
      <c r="CS113" s="807">
        <f>+CT113/CP113*10</f>
        <v>5.6148295856312105</v>
      </c>
      <c r="CT113" s="807">
        <f>SUM(CT9:CT110)</f>
        <v>1.9681804459999999</v>
      </c>
      <c r="CU113" s="807">
        <f>IFERROR(+CV113/CP113*10,0)</f>
        <v>0.23612986479096346</v>
      </c>
      <c r="CV113" s="807">
        <f>SUM(CV9:CV110)</f>
        <v>8.2771200000000003E-2</v>
      </c>
      <c r="CW113" s="413"/>
      <c r="CX113" s="807">
        <f>IFERROR(+CY113/CP113*10,0)</f>
        <v>5.8509594504221729</v>
      </c>
      <c r="CY113" s="807">
        <f>SUM(CY9:CY110)</f>
        <v>2.0509516459999997</v>
      </c>
      <c r="CZ113" s="807">
        <f>SUM(CZ9:CZ110)</f>
        <v>3.4976615988432251</v>
      </c>
      <c r="DA113" s="413"/>
      <c r="DB113" s="413"/>
      <c r="DC113" s="807">
        <f>+DD113/CZ113*10</f>
        <v>5.5519430485849028</v>
      </c>
      <c r="DD113" s="807">
        <f>SUM(DD9:DD110)</f>
        <v>1.9418818</v>
      </c>
      <c r="DE113" s="807">
        <f>IFERROR(+DF113/CZ113*10,0)</f>
        <v>0.1899612015695693</v>
      </c>
      <c r="DF113" s="807">
        <f>SUM(DF9:DF110)</f>
        <v>6.6442000000000001E-2</v>
      </c>
      <c r="DG113" s="413"/>
      <c r="DH113" s="807">
        <f>IFERROR(+DI113/CZ113*10,0)</f>
        <v>5.7419042501544713</v>
      </c>
      <c r="DI113" s="807">
        <f>SUM(DI9:DI110)</f>
        <v>2.0083237999999999</v>
      </c>
      <c r="DJ113" s="807">
        <f>SUM(DJ9:DJ110)</f>
        <v>3.4426730014459825</v>
      </c>
      <c r="DK113" s="413"/>
      <c r="DL113" s="413"/>
      <c r="DM113" s="807">
        <f>+DN113/DJ113*10</f>
        <v>5.471942523175354</v>
      </c>
      <c r="DN113" s="807">
        <f>SUM(DN9:DN110)</f>
        <v>1.8838108789999999</v>
      </c>
      <c r="DO113" s="807">
        <f>IFERROR(+DP113/DJ113*10,0)</f>
        <v>0.17037313731325726</v>
      </c>
      <c r="DP113" s="807">
        <f>SUM(DP9:DP110)</f>
        <v>5.8653899999999995E-2</v>
      </c>
      <c r="DQ113" s="413"/>
      <c r="DR113" s="807">
        <f>IFERROR(+DS113/DJ113*10,0)</f>
        <v>5.6423156604886113</v>
      </c>
      <c r="DS113" s="807">
        <f>SUM(DS9:DS110)</f>
        <v>1.9424647789999998</v>
      </c>
      <c r="DT113" s="807">
        <f>SUM(DT9:DT110)</f>
        <v>4.0711597190663085</v>
      </c>
      <c r="DU113" s="413"/>
      <c r="DV113" s="413"/>
      <c r="DW113" s="807">
        <f>+DX113/DT113*10</f>
        <v>5.4290396496821911</v>
      </c>
      <c r="DX113" s="807">
        <f>SUM(DX9:DX110)</f>
        <v>2.2102487535000002</v>
      </c>
      <c r="DY113" s="807">
        <f>IFERROR(+DZ113/DT113*10,0)</f>
        <v>0.15880659188391569</v>
      </c>
      <c r="DZ113" s="807">
        <f>SUM(DZ9:DZ110)</f>
        <v>6.4652700000000007E-2</v>
      </c>
      <c r="EA113" s="413"/>
      <c r="EB113" s="807">
        <f>IFERROR(+EC113/DT113*10,0)</f>
        <v>5.5878462415661065</v>
      </c>
      <c r="EC113" s="807">
        <f>SUM(EC9:EC110)</f>
        <v>2.2749014535000001</v>
      </c>
      <c r="ED113" s="413"/>
      <c r="EE113" s="807">
        <f>SUM(EE9:EE110)</f>
        <v>39.51214236727953</v>
      </c>
      <c r="EF113" s="413"/>
      <c r="EG113" s="413"/>
      <c r="EH113" s="807">
        <f>+EI113/EE113*10</f>
        <v>6.0886249745400454</v>
      </c>
      <c r="EI113" s="807">
        <f>SUM(EI9:EI110)</f>
        <v>24.057461681499998</v>
      </c>
      <c r="EJ113" s="807">
        <f>IFERROR(+EK113/EE113*10,0)</f>
        <v>0.21561550362946252</v>
      </c>
      <c r="EK113" s="807">
        <f>SUM(EK9:EK110)</f>
        <v>0.85194304759999995</v>
      </c>
      <c r="EL113" s="413"/>
      <c r="EM113" s="807">
        <f>IFERROR(+EN113/EE113*10,0)</f>
        <v>6.3042404781695085</v>
      </c>
      <c r="EN113" s="807">
        <f>SUM(EN9:EN110)</f>
        <v>24.9094047291</v>
      </c>
      <c r="EO113" s="810">
        <f t="shared" ref="EO113" si="43">+EN113/EE113*10</f>
        <v>6.3042404781695085</v>
      </c>
      <c r="EP113" s="807">
        <f t="shared" ref="EP113" si="44">+EN113/M113*10</f>
        <v>6.5112998121973851</v>
      </c>
      <c r="EQ113" s="434"/>
      <c r="ER113" s="434"/>
      <c r="ES113" s="434"/>
      <c r="ET113" s="434"/>
      <c r="EU113" s="434"/>
      <c r="EV113" s="434"/>
      <c r="EW113" s="434"/>
      <c r="EX113" s="434"/>
      <c r="EY113" s="434"/>
      <c r="EZ113" s="434"/>
      <c r="FA113" s="434"/>
      <c r="FB113" s="434"/>
      <c r="FC113" s="399"/>
      <c r="FD113" s="399"/>
      <c r="FE113" s="399"/>
      <c r="FF113" s="399"/>
      <c r="FG113" s="415"/>
      <c r="FH113" s="415"/>
      <c r="FI113" s="415"/>
      <c r="FJ113" s="415"/>
      <c r="FK113" s="415"/>
      <c r="FL113" s="415"/>
      <c r="FM113" s="415"/>
    </row>
    <row r="114" spans="1:169">
      <c r="A114" s="420"/>
      <c r="B114" s="421"/>
      <c r="C114" s="421"/>
      <c r="D114" s="421"/>
      <c r="E114" s="421"/>
      <c r="F114" s="421"/>
      <c r="G114" s="421"/>
      <c r="H114" s="421"/>
      <c r="I114" s="421"/>
      <c r="J114" s="421"/>
      <c r="K114" s="421"/>
      <c r="L114" s="421"/>
      <c r="M114" s="417"/>
      <c r="N114" s="417"/>
      <c r="O114" s="417"/>
      <c r="P114" s="417"/>
      <c r="Q114" s="417"/>
      <c r="R114" s="417"/>
      <c r="S114" s="417"/>
      <c r="T114" s="417"/>
      <c r="U114" s="417"/>
      <c r="V114" s="417"/>
      <c r="W114" s="417"/>
      <c r="X114" s="417"/>
      <c r="Y114" s="417"/>
      <c r="Z114" s="417"/>
      <c r="AA114" s="417"/>
      <c r="AB114" s="417"/>
      <c r="AC114" s="417"/>
      <c r="AD114" s="417"/>
      <c r="AE114" s="417"/>
      <c r="AF114" s="417"/>
      <c r="AG114" s="417"/>
      <c r="AH114" s="417"/>
      <c r="AI114" s="417"/>
      <c r="AJ114" s="417"/>
      <c r="AK114" s="417"/>
      <c r="AL114" s="417"/>
      <c r="AM114" s="417"/>
      <c r="AN114" s="417"/>
      <c r="AO114" s="422"/>
      <c r="AP114" s="417"/>
      <c r="AQ114" s="417"/>
      <c r="AR114" s="417"/>
      <c r="AS114" s="417"/>
      <c r="AT114" s="417"/>
      <c r="AU114" s="417"/>
      <c r="AV114" s="417"/>
      <c r="AW114" s="417"/>
      <c r="AX114" s="417"/>
      <c r="AY114" s="422"/>
      <c r="AZ114" s="417"/>
      <c r="BA114" s="417"/>
      <c r="BB114" s="417"/>
      <c r="BC114" s="417"/>
      <c r="BD114" s="417"/>
      <c r="BE114" s="417"/>
      <c r="BF114" s="417"/>
      <c r="BG114" s="417"/>
      <c r="BH114" s="417"/>
      <c r="BI114" s="422"/>
      <c r="BJ114" s="417"/>
      <c r="BK114" s="417"/>
      <c r="BL114" s="417"/>
      <c r="BM114" s="417"/>
      <c r="BN114" s="417"/>
      <c r="BO114" s="417"/>
      <c r="BP114" s="417"/>
      <c r="BQ114" s="417"/>
      <c r="BR114" s="417"/>
      <c r="BS114" s="417"/>
      <c r="BT114" s="417"/>
      <c r="BU114" s="417"/>
      <c r="BV114" s="417"/>
      <c r="BW114" s="417"/>
      <c r="BX114" s="417"/>
      <c r="BY114" s="417"/>
      <c r="BZ114" s="417"/>
      <c r="CA114" s="417"/>
      <c r="CB114" s="417"/>
      <c r="CC114" s="417"/>
      <c r="CD114" s="417"/>
      <c r="CE114" s="417"/>
      <c r="CF114" s="417"/>
      <c r="CG114" s="417"/>
      <c r="CH114" s="417"/>
      <c r="CI114" s="417"/>
      <c r="CJ114" s="417"/>
      <c r="CK114" s="417"/>
      <c r="CL114" s="417"/>
      <c r="CM114" s="422"/>
      <c r="CN114" s="417"/>
      <c r="CO114" s="417"/>
      <c r="CP114" s="417"/>
      <c r="CQ114" s="417"/>
      <c r="CR114" s="417"/>
      <c r="CS114" s="417"/>
      <c r="CT114" s="417"/>
      <c r="CU114" s="417"/>
      <c r="CV114" s="417"/>
      <c r="CW114" s="422"/>
      <c r="CX114" s="417"/>
      <c r="CY114" s="417"/>
      <c r="CZ114" s="417"/>
      <c r="DA114" s="417"/>
      <c r="DB114" s="417"/>
      <c r="DC114" s="417"/>
      <c r="DD114" s="417"/>
      <c r="DE114" s="417"/>
      <c r="DF114" s="417"/>
      <c r="DG114" s="422"/>
      <c r="DH114" s="417"/>
      <c r="DI114" s="417"/>
      <c r="DJ114" s="417"/>
      <c r="DK114" s="417"/>
      <c r="DL114" s="417"/>
      <c r="DM114" s="417"/>
      <c r="DN114" s="417"/>
      <c r="DO114" s="417"/>
      <c r="DP114" s="417"/>
      <c r="DQ114" s="422"/>
      <c r="DR114" s="417"/>
      <c r="DS114" s="417"/>
      <c r="DT114" s="417"/>
      <c r="DU114" s="417"/>
      <c r="DV114" s="417"/>
      <c r="DW114" s="417"/>
      <c r="DX114" s="417"/>
      <c r="DY114" s="417"/>
      <c r="DZ114" s="417"/>
      <c r="EA114" s="417"/>
      <c r="EB114" s="417"/>
      <c r="EC114" s="417"/>
      <c r="ED114" s="417"/>
      <c r="EE114" s="935">
        <f>+F1_PP_Annual!J236-EE113</f>
        <v>0</v>
      </c>
      <c r="EF114" s="417"/>
      <c r="EG114" s="417"/>
      <c r="EH114" s="417"/>
      <c r="EI114" s="417"/>
      <c r="EJ114" s="417"/>
      <c r="EK114" s="417"/>
      <c r="EL114" s="417"/>
      <c r="EM114" s="417"/>
      <c r="EN114" s="454"/>
      <c r="EO114" s="455"/>
      <c r="EP114" s="413"/>
      <c r="EQ114" s="434"/>
      <c r="ER114" s="434"/>
      <c r="ES114" s="434"/>
      <c r="ET114" s="434"/>
      <c r="EU114" s="434"/>
      <c r="EV114" s="434"/>
      <c r="EW114" s="434"/>
      <c r="EX114" s="434"/>
      <c r="EY114" s="434"/>
      <c r="EZ114" s="434"/>
      <c r="FA114" s="434"/>
      <c r="FB114" s="434"/>
      <c r="FC114" s="399"/>
      <c r="FD114" s="399"/>
      <c r="FE114" s="399"/>
      <c r="FF114" s="399"/>
      <c r="FG114" s="423"/>
      <c r="FH114" s="423"/>
      <c r="FI114" s="423"/>
      <c r="FJ114" s="424"/>
      <c r="FK114" s="423"/>
      <c r="FL114" s="423"/>
      <c r="FM114" s="423"/>
    </row>
    <row r="115" spans="1:169">
      <c r="A115" s="432"/>
      <c r="B115" s="451" t="s">
        <v>1230</v>
      </c>
      <c r="C115" s="456"/>
      <c r="D115" s="456"/>
      <c r="E115" s="456"/>
      <c r="F115" s="456"/>
      <c r="G115" s="456"/>
      <c r="H115" s="456"/>
      <c r="I115" s="456"/>
      <c r="J115" s="456"/>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56"/>
      <c r="AY115" s="456"/>
      <c r="AZ115" s="456"/>
      <c r="BA115" s="456"/>
      <c r="BB115" s="456"/>
      <c r="BC115" s="456"/>
      <c r="BD115" s="456"/>
      <c r="BE115" s="456"/>
      <c r="BF115" s="456"/>
      <c r="BG115" s="456"/>
      <c r="BH115" s="456"/>
      <c r="BI115" s="456"/>
      <c r="BJ115" s="456"/>
      <c r="BK115" s="456"/>
      <c r="BL115" s="456"/>
      <c r="BM115" s="456"/>
      <c r="BN115" s="456"/>
      <c r="BO115" s="456"/>
      <c r="BP115" s="456"/>
      <c r="BQ115" s="456"/>
      <c r="BR115" s="456"/>
      <c r="BS115" s="456"/>
      <c r="BT115" s="456"/>
      <c r="BU115" s="456"/>
      <c r="BV115" s="456"/>
      <c r="BW115" s="456"/>
      <c r="BX115" s="456"/>
      <c r="BY115" s="456"/>
      <c r="BZ115" s="456"/>
      <c r="CA115" s="456"/>
      <c r="CB115" s="456"/>
      <c r="CC115" s="456"/>
      <c r="CD115" s="456"/>
      <c r="CE115" s="456"/>
      <c r="CF115" s="456"/>
      <c r="CG115" s="456"/>
      <c r="CH115" s="456"/>
      <c r="CI115" s="456"/>
      <c r="CJ115" s="456"/>
      <c r="CK115" s="456"/>
      <c r="CL115" s="456"/>
      <c r="CM115" s="456"/>
      <c r="CN115" s="456"/>
      <c r="CO115" s="456"/>
      <c r="CP115" s="456"/>
      <c r="CQ115" s="456"/>
      <c r="CR115" s="456"/>
      <c r="CS115" s="456"/>
      <c r="CT115" s="456"/>
      <c r="CU115" s="456"/>
      <c r="CV115" s="456"/>
      <c r="CW115" s="456"/>
      <c r="CX115" s="456"/>
      <c r="CY115" s="456"/>
      <c r="CZ115" s="456"/>
      <c r="DA115" s="456"/>
      <c r="DB115" s="456"/>
      <c r="DC115" s="456"/>
      <c r="DD115" s="456"/>
      <c r="DE115" s="456"/>
      <c r="DF115" s="456"/>
      <c r="DG115" s="456"/>
      <c r="DH115" s="456"/>
      <c r="DI115" s="456"/>
      <c r="DJ115" s="456"/>
      <c r="DK115" s="456"/>
      <c r="DL115" s="456"/>
      <c r="DM115" s="456"/>
      <c r="DN115" s="456"/>
      <c r="DO115" s="456"/>
      <c r="DP115" s="456"/>
      <c r="DQ115" s="456"/>
      <c r="DR115" s="456"/>
      <c r="DS115" s="456"/>
      <c r="DT115" s="456"/>
      <c r="DU115" s="456"/>
      <c r="DV115" s="456"/>
      <c r="DW115" s="456"/>
      <c r="DX115" s="456"/>
      <c r="DY115" s="456"/>
      <c r="DZ115" s="456"/>
      <c r="EA115" s="456"/>
      <c r="EB115" s="456"/>
      <c r="EC115" s="456"/>
      <c r="ED115" s="456"/>
      <c r="EE115" s="456"/>
      <c r="EF115" s="456"/>
      <c r="EG115" s="456"/>
      <c r="EH115" s="456"/>
      <c r="EI115" s="456"/>
      <c r="EJ115" s="456"/>
      <c r="EK115" s="456"/>
      <c r="EL115" s="456"/>
      <c r="EM115" s="456"/>
      <c r="EN115" s="408"/>
      <c r="EO115" s="408"/>
      <c r="EP115" s="408"/>
    </row>
    <row r="116" spans="1:169">
      <c r="A116" s="432"/>
      <c r="B116" s="451" t="s">
        <v>1218</v>
      </c>
      <c r="C116" s="456"/>
      <c r="D116" s="456"/>
      <c r="E116" s="456"/>
      <c r="F116" s="456"/>
      <c r="G116" s="456"/>
      <c r="H116" s="456"/>
      <c r="I116" s="456"/>
      <c r="J116" s="456"/>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56"/>
      <c r="AY116" s="456"/>
      <c r="AZ116" s="456"/>
      <c r="BA116" s="456"/>
      <c r="BB116" s="456"/>
      <c r="BC116" s="456"/>
      <c r="BD116" s="456"/>
      <c r="BE116" s="456"/>
      <c r="BF116" s="456"/>
      <c r="BG116" s="456"/>
      <c r="BH116" s="456"/>
      <c r="BI116" s="456"/>
      <c r="BJ116" s="456"/>
      <c r="BK116" s="456"/>
      <c r="BL116" s="456"/>
      <c r="BM116" s="456"/>
      <c r="BN116" s="456"/>
      <c r="BO116" s="456"/>
      <c r="BP116" s="456"/>
      <c r="BQ116" s="456"/>
      <c r="BR116" s="456"/>
      <c r="BS116" s="456"/>
      <c r="BT116" s="456"/>
      <c r="BU116" s="456"/>
      <c r="BV116" s="456"/>
      <c r="BW116" s="456"/>
      <c r="BX116" s="456"/>
      <c r="BY116" s="456"/>
      <c r="BZ116" s="456"/>
      <c r="CA116" s="456"/>
      <c r="CB116" s="456"/>
      <c r="CC116" s="456"/>
      <c r="CD116" s="456"/>
      <c r="CE116" s="456"/>
      <c r="CF116" s="456"/>
      <c r="CG116" s="456"/>
      <c r="CH116" s="456"/>
      <c r="CI116" s="456"/>
      <c r="CJ116" s="456"/>
      <c r="CK116" s="456"/>
      <c r="CL116" s="456"/>
      <c r="CM116" s="456"/>
      <c r="CN116" s="456"/>
      <c r="CO116" s="456"/>
      <c r="CP116" s="456"/>
      <c r="CQ116" s="456"/>
      <c r="CR116" s="456"/>
      <c r="CS116" s="456"/>
      <c r="CT116" s="456"/>
      <c r="CU116" s="456"/>
      <c r="CV116" s="456"/>
      <c r="CW116" s="456"/>
      <c r="CX116" s="456"/>
      <c r="CY116" s="456"/>
      <c r="CZ116" s="456"/>
      <c r="DA116" s="456"/>
      <c r="DB116" s="456"/>
      <c r="DC116" s="456"/>
      <c r="DD116" s="456"/>
      <c r="DE116" s="456"/>
      <c r="DF116" s="456"/>
      <c r="DG116" s="456"/>
      <c r="DH116" s="456"/>
      <c r="DI116" s="456"/>
      <c r="DJ116" s="456"/>
      <c r="DK116" s="456"/>
      <c r="DL116" s="456"/>
      <c r="DM116" s="456"/>
      <c r="DN116" s="456"/>
      <c r="DO116" s="456"/>
      <c r="DP116" s="456"/>
      <c r="DQ116" s="456"/>
      <c r="DR116" s="456"/>
      <c r="DS116" s="456"/>
      <c r="DT116" s="456"/>
      <c r="DU116" s="456"/>
      <c r="DV116" s="456"/>
      <c r="DW116" s="456"/>
      <c r="DX116" s="456"/>
      <c r="DY116" s="456"/>
      <c r="DZ116" s="456"/>
      <c r="EA116" s="456"/>
      <c r="EB116" s="456"/>
      <c r="EC116" s="456"/>
      <c r="ED116" s="456"/>
      <c r="EE116" s="456"/>
      <c r="EF116" s="456"/>
      <c r="EG116" s="456"/>
      <c r="EH116" s="456"/>
      <c r="EI116" s="456"/>
      <c r="EJ116" s="456"/>
      <c r="EK116" s="456"/>
      <c r="EL116" s="456"/>
      <c r="EM116" s="456"/>
      <c r="EN116" s="408"/>
      <c r="EO116" s="408"/>
      <c r="EP116" s="408"/>
    </row>
    <row r="117" spans="1:169">
      <c r="A117" s="432"/>
      <c r="B117" s="438" t="s">
        <v>1219</v>
      </c>
      <c r="C117" s="439"/>
      <c r="D117" s="439"/>
      <c r="E117" s="439"/>
      <c r="F117" s="1764"/>
      <c r="G117" s="1764"/>
      <c r="H117" s="1764"/>
      <c r="I117" s="1764"/>
      <c r="J117" s="1764"/>
      <c r="K117" s="1764"/>
      <c r="L117" s="1764"/>
      <c r="M117" s="1764"/>
      <c r="N117" s="1764"/>
      <c r="O117" s="1764"/>
      <c r="P117" s="1764"/>
      <c r="Q117" s="1764"/>
      <c r="R117" s="1764"/>
      <c r="S117" s="1764"/>
      <c r="T117" s="1764"/>
      <c r="U117" s="1764"/>
      <c r="V117" s="1764"/>
      <c r="W117" s="1764"/>
      <c r="X117" s="1764"/>
      <c r="Y117" s="1764"/>
      <c r="Z117" s="1764"/>
      <c r="AA117" s="1764"/>
      <c r="AB117" s="1764"/>
      <c r="AC117" s="1764"/>
      <c r="AD117" s="1764"/>
      <c r="AE117" s="1764"/>
      <c r="AF117" s="1764"/>
      <c r="AG117" s="1764"/>
      <c r="AH117" s="1764"/>
      <c r="AI117" s="1764"/>
      <c r="AJ117" s="1764"/>
      <c r="AK117" s="1764"/>
      <c r="AL117" s="1764"/>
      <c r="AM117" s="1764"/>
      <c r="AN117" s="1764"/>
      <c r="AO117" s="1764"/>
      <c r="AP117" s="1764"/>
      <c r="AQ117" s="1764"/>
      <c r="AR117" s="1764"/>
      <c r="AS117" s="1764"/>
      <c r="AT117" s="1764"/>
      <c r="AU117" s="1764"/>
      <c r="AV117" s="1764"/>
      <c r="AW117" s="1764"/>
      <c r="AX117" s="1764"/>
      <c r="AY117" s="1764"/>
      <c r="AZ117" s="1764"/>
      <c r="BA117" s="1764"/>
      <c r="BB117" s="1764"/>
      <c r="BC117" s="1764"/>
      <c r="BD117" s="1764"/>
      <c r="BE117" s="1764"/>
      <c r="BF117" s="1764"/>
      <c r="BG117" s="1764"/>
      <c r="BH117" s="1764"/>
      <c r="BI117" s="1764"/>
      <c r="BJ117" s="1764"/>
      <c r="BK117" s="1764"/>
      <c r="BL117" s="1764"/>
      <c r="BM117" s="1764"/>
      <c r="BN117" s="1764"/>
      <c r="BO117" s="1764"/>
      <c r="BP117" s="1764"/>
      <c r="BQ117" s="1764"/>
      <c r="BR117" s="1764"/>
      <c r="BS117" s="1764"/>
      <c r="BT117" s="1764"/>
      <c r="BU117" s="1764"/>
      <c r="BV117" s="1764"/>
      <c r="BW117" s="1764"/>
      <c r="BX117" s="1764"/>
      <c r="BY117" s="1764"/>
      <c r="BZ117" s="1764"/>
      <c r="CA117" s="1764"/>
      <c r="CB117" s="1764"/>
      <c r="CC117" s="1764"/>
      <c r="CD117" s="1764"/>
      <c r="CE117" s="1764"/>
      <c r="CF117" s="1764"/>
      <c r="CG117" s="1764"/>
      <c r="CH117" s="1764"/>
      <c r="CI117" s="1764"/>
      <c r="CJ117" s="1764"/>
      <c r="CK117" s="1764"/>
      <c r="CL117" s="1764"/>
      <c r="CM117" s="1764"/>
      <c r="CN117" s="1764"/>
      <c r="CO117" s="1764"/>
      <c r="CP117" s="1764"/>
      <c r="CQ117" s="1764"/>
      <c r="CR117" s="1764"/>
      <c r="CS117" s="1764"/>
      <c r="CT117" s="1764"/>
      <c r="CU117" s="1764"/>
      <c r="CV117" s="1764"/>
      <c r="CW117" s="1764"/>
      <c r="CX117" s="1764"/>
      <c r="CY117" s="1764"/>
      <c r="CZ117" s="1764"/>
      <c r="DA117" s="1764"/>
      <c r="DB117" s="1764"/>
      <c r="DC117" s="1764"/>
      <c r="DD117" s="1764"/>
      <c r="DE117" s="1764"/>
      <c r="DF117" s="1764"/>
      <c r="DG117" s="1764"/>
      <c r="DH117" s="1764"/>
      <c r="DI117" s="1764"/>
      <c r="DJ117" s="1764"/>
      <c r="DK117" s="1764"/>
      <c r="DL117" s="1764"/>
      <c r="DM117" s="1764"/>
      <c r="DN117" s="1764"/>
      <c r="DO117" s="1764"/>
      <c r="DP117" s="1764"/>
      <c r="DQ117" s="1764"/>
      <c r="DR117" s="1764"/>
      <c r="DS117" s="1764"/>
      <c r="DT117" s="1764"/>
      <c r="DU117" s="1764"/>
      <c r="DV117" s="1764"/>
      <c r="DW117" s="1764"/>
      <c r="DX117" s="1764"/>
      <c r="DY117" s="1764"/>
      <c r="DZ117" s="1764"/>
      <c r="EA117" s="1764"/>
      <c r="EB117" s="1764"/>
      <c r="EC117" s="1764"/>
      <c r="ED117" s="1764"/>
      <c r="EE117" s="1764"/>
      <c r="EF117" s="1764"/>
      <c r="EG117" s="1764"/>
      <c r="EH117" s="1764"/>
      <c r="EI117" s="1764"/>
      <c r="EJ117" s="1764"/>
      <c r="EK117" s="1764"/>
      <c r="EL117" s="1764"/>
      <c r="EM117" s="1764"/>
      <c r="EN117" s="1764"/>
      <c r="EO117" s="1764"/>
      <c r="EP117" s="1765"/>
    </row>
    <row r="118" spans="1:169">
      <c r="A118" s="432"/>
      <c r="B118" s="451" t="s">
        <v>1231</v>
      </c>
      <c r="C118" s="456"/>
      <c r="D118" s="456"/>
      <c r="E118" s="456"/>
      <c r="F118" s="456"/>
      <c r="G118" s="456"/>
      <c r="H118" s="456"/>
      <c r="I118" s="456"/>
      <c r="J118" s="456"/>
      <c r="K118" s="456"/>
      <c r="L118" s="456"/>
      <c r="M118" s="456"/>
      <c r="N118" s="456"/>
      <c r="O118" s="456"/>
      <c r="P118" s="456"/>
      <c r="Q118" s="456"/>
      <c r="R118" s="456"/>
      <c r="S118" s="456"/>
      <c r="T118" s="456"/>
      <c r="U118" s="456"/>
      <c r="V118" s="456"/>
      <c r="W118" s="456"/>
      <c r="X118" s="456"/>
      <c r="Y118" s="456"/>
      <c r="Z118" s="456"/>
      <c r="AA118" s="456"/>
      <c r="AB118" s="456"/>
      <c r="AC118" s="456"/>
      <c r="AD118" s="456"/>
      <c r="AE118" s="456"/>
      <c r="AF118" s="456"/>
      <c r="AG118" s="456"/>
      <c r="AH118" s="456"/>
      <c r="AI118" s="456"/>
      <c r="AJ118" s="456"/>
      <c r="AK118" s="456"/>
      <c r="AL118" s="456"/>
      <c r="AM118" s="456"/>
      <c r="AN118" s="456"/>
      <c r="AO118" s="456"/>
      <c r="AP118" s="456"/>
      <c r="AQ118" s="456"/>
      <c r="AR118" s="456"/>
      <c r="AS118" s="456"/>
      <c r="AT118" s="456"/>
      <c r="AU118" s="456"/>
      <c r="AV118" s="456"/>
      <c r="AW118" s="456"/>
      <c r="AX118" s="456"/>
      <c r="AY118" s="456"/>
      <c r="AZ118" s="456"/>
      <c r="BA118" s="456"/>
      <c r="BB118" s="456"/>
      <c r="BC118" s="456"/>
      <c r="BD118" s="456"/>
      <c r="BE118" s="456"/>
      <c r="BF118" s="456"/>
      <c r="BG118" s="456"/>
      <c r="BH118" s="456"/>
      <c r="BI118" s="456"/>
      <c r="BJ118" s="456"/>
      <c r="BK118" s="456"/>
      <c r="BL118" s="456"/>
      <c r="BM118" s="456"/>
      <c r="BN118" s="456"/>
      <c r="BO118" s="456"/>
      <c r="BP118" s="456"/>
      <c r="BQ118" s="456"/>
      <c r="BR118" s="456"/>
      <c r="BS118" s="456"/>
      <c r="BT118" s="456"/>
      <c r="BU118" s="456"/>
      <c r="BV118" s="456"/>
      <c r="BW118" s="456"/>
      <c r="BX118" s="456"/>
      <c r="BY118" s="456"/>
      <c r="BZ118" s="456"/>
      <c r="CA118" s="456"/>
      <c r="CB118" s="456"/>
      <c r="CC118" s="456"/>
      <c r="CD118" s="456"/>
      <c r="CE118" s="456"/>
      <c r="CF118" s="456"/>
      <c r="CG118" s="456"/>
      <c r="CH118" s="456"/>
      <c r="CI118" s="456"/>
      <c r="CJ118" s="456"/>
      <c r="CK118" s="456"/>
      <c r="CL118" s="456"/>
      <c r="CM118" s="456"/>
      <c r="CN118" s="456"/>
      <c r="CO118" s="456"/>
      <c r="CP118" s="456"/>
      <c r="CQ118" s="456"/>
      <c r="CR118" s="456"/>
      <c r="CS118" s="456"/>
      <c r="CT118" s="456"/>
      <c r="CU118" s="456"/>
      <c r="CV118" s="456"/>
      <c r="CW118" s="456"/>
      <c r="CX118" s="456"/>
      <c r="CY118" s="456"/>
      <c r="CZ118" s="456"/>
      <c r="DA118" s="456"/>
      <c r="DB118" s="456"/>
      <c r="DC118" s="456"/>
      <c r="DD118" s="456"/>
      <c r="DE118" s="456"/>
      <c r="DF118" s="456"/>
      <c r="DG118" s="456"/>
      <c r="DH118" s="456"/>
      <c r="DI118" s="456"/>
      <c r="DJ118" s="456"/>
      <c r="DK118" s="456"/>
      <c r="DL118" s="456"/>
      <c r="DM118" s="456"/>
      <c r="DN118" s="456"/>
      <c r="DO118" s="456"/>
      <c r="DP118" s="456"/>
      <c r="DQ118" s="456"/>
      <c r="DR118" s="456"/>
      <c r="DS118" s="456"/>
      <c r="DT118" s="456"/>
      <c r="DU118" s="456"/>
      <c r="DV118" s="456"/>
      <c r="DW118" s="456"/>
      <c r="DX118" s="456"/>
      <c r="DY118" s="456"/>
      <c r="DZ118" s="456"/>
      <c r="EA118" s="456"/>
      <c r="EB118" s="456"/>
      <c r="EC118" s="456"/>
      <c r="ED118" s="456"/>
      <c r="EE118" s="456"/>
      <c r="EF118" s="456"/>
      <c r="EG118" s="456"/>
      <c r="EH118" s="456"/>
      <c r="EI118" s="456"/>
      <c r="EJ118" s="456"/>
      <c r="EK118" s="456"/>
      <c r="EL118" s="456"/>
      <c r="EM118" s="456"/>
      <c r="EN118" s="408"/>
      <c r="EO118" s="408"/>
      <c r="EP118" s="408"/>
    </row>
    <row r="119" spans="1:169">
      <c r="A119" s="432"/>
      <c r="B119" s="451" t="s">
        <v>1243</v>
      </c>
      <c r="C119" s="456"/>
      <c r="D119" s="456"/>
      <c r="E119" s="456"/>
      <c r="F119" s="456"/>
      <c r="G119" s="456"/>
      <c r="H119" s="456"/>
      <c r="I119" s="456"/>
      <c r="J119" s="456"/>
      <c r="K119" s="456"/>
      <c r="L119" s="456"/>
      <c r="M119" s="456"/>
      <c r="N119" s="456"/>
      <c r="O119" s="456"/>
      <c r="P119" s="456"/>
      <c r="Q119" s="456"/>
      <c r="R119" s="456"/>
      <c r="S119" s="456"/>
      <c r="T119" s="456"/>
      <c r="U119" s="456"/>
      <c r="V119" s="456"/>
      <c r="W119" s="456"/>
      <c r="X119" s="456"/>
      <c r="Y119" s="456"/>
      <c r="Z119" s="456"/>
      <c r="AA119" s="456"/>
      <c r="AB119" s="456"/>
      <c r="AC119" s="456"/>
      <c r="AD119" s="456"/>
      <c r="AE119" s="456"/>
      <c r="AF119" s="456"/>
      <c r="AG119" s="456"/>
      <c r="AH119" s="456"/>
      <c r="AI119" s="456"/>
      <c r="AJ119" s="456"/>
      <c r="AK119" s="456"/>
      <c r="AL119" s="456"/>
      <c r="AM119" s="456"/>
      <c r="AN119" s="456"/>
      <c r="AO119" s="456"/>
      <c r="AP119" s="456"/>
      <c r="AQ119" s="456"/>
      <c r="AR119" s="456"/>
      <c r="AS119" s="456"/>
      <c r="AT119" s="456"/>
      <c r="AU119" s="456"/>
      <c r="AV119" s="456"/>
      <c r="AW119" s="456"/>
      <c r="AX119" s="456"/>
      <c r="AY119" s="456"/>
      <c r="AZ119" s="456"/>
      <c r="BA119" s="456"/>
      <c r="BB119" s="456"/>
      <c r="BC119" s="456"/>
      <c r="BD119" s="456"/>
      <c r="BE119" s="456"/>
      <c r="BF119" s="456"/>
      <c r="BG119" s="456"/>
      <c r="BH119" s="456"/>
      <c r="BI119" s="456"/>
      <c r="BJ119" s="456"/>
      <c r="BK119" s="456"/>
      <c r="BL119" s="456"/>
      <c r="BM119" s="456"/>
      <c r="BN119" s="456"/>
      <c r="BO119" s="456"/>
      <c r="BP119" s="456"/>
      <c r="BQ119" s="456"/>
      <c r="BR119" s="456"/>
      <c r="BS119" s="456"/>
      <c r="BT119" s="456"/>
      <c r="BU119" s="456"/>
      <c r="BV119" s="456"/>
      <c r="BW119" s="456"/>
      <c r="BX119" s="456"/>
      <c r="BY119" s="456"/>
      <c r="BZ119" s="456"/>
      <c r="CA119" s="456"/>
      <c r="CB119" s="456"/>
      <c r="CC119" s="456"/>
      <c r="CD119" s="456"/>
      <c r="CE119" s="456"/>
      <c r="CF119" s="456"/>
      <c r="CG119" s="456"/>
      <c r="CH119" s="456"/>
      <c r="CI119" s="456"/>
      <c r="CJ119" s="456"/>
      <c r="CK119" s="456"/>
      <c r="CL119" s="456"/>
      <c r="CM119" s="456"/>
      <c r="CN119" s="456"/>
      <c r="CO119" s="456"/>
      <c r="CP119" s="456"/>
      <c r="CQ119" s="456"/>
      <c r="CR119" s="456"/>
      <c r="CS119" s="456"/>
      <c r="CT119" s="456"/>
      <c r="CU119" s="456"/>
      <c r="CV119" s="456"/>
      <c r="CW119" s="456"/>
      <c r="CX119" s="456"/>
      <c r="CY119" s="456"/>
      <c r="CZ119" s="456"/>
      <c r="DA119" s="456"/>
      <c r="DB119" s="456"/>
      <c r="DC119" s="456"/>
      <c r="DD119" s="456"/>
      <c r="DE119" s="456"/>
      <c r="DF119" s="456"/>
      <c r="DG119" s="456"/>
      <c r="DH119" s="456"/>
      <c r="DI119" s="456"/>
      <c r="DJ119" s="456"/>
      <c r="DK119" s="456"/>
      <c r="DL119" s="456"/>
      <c r="DM119" s="456"/>
      <c r="DN119" s="456"/>
      <c r="DO119" s="456"/>
      <c r="DP119" s="456"/>
      <c r="DQ119" s="456"/>
      <c r="DR119" s="456"/>
      <c r="DS119" s="456"/>
      <c r="DT119" s="456"/>
      <c r="DU119" s="456"/>
      <c r="DV119" s="456"/>
      <c r="DW119" s="456"/>
      <c r="DX119" s="456"/>
      <c r="DY119" s="456"/>
      <c r="DZ119" s="456"/>
      <c r="EA119" s="456"/>
      <c r="EB119" s="456"/>
      <c r="EC119" s="456"/>
      <c r="ED119" s="456"/>
      <c r="EE119" s="456"/>
      <c r="EF119" s="456"/>
      <c r="EG119" s="456"/>
      <c r="EH119" s="456"/>
      <c r="EI119" s="456"/>
      <c r="EJ119" s="456"/>
      <c r="EK119" s="456"/>
      <c r="EL119" s="456"/>
      <c r="EM119" s="456"/>
      <c r="EN119" s="408"/>
      <c r="EO119" s="408"/>
      <c r="EP119" s="408"/>
    </row>
    <row r="120" spans="1:169">
      <c r="B120" s="430"/>
      <c r="C120" s="430"/>
      <c r="D120" s="430"/>
      <c r="E120" s="430"/>
      <c r="F120" s="430"/>
      <c r="G120" s="430"/>
      <c r="H120" s="430"/>
      <c r="I120" s="430"/>
      <c r="J120" s="430"/>
      <c r="K120" s="430"/>
      <c r="L120" s="430"/>
      <c r="M120" s="430"/>
      <c r="N120" s="430"/>
      <c r="O120" s="430"/>
      <c r="P120" s="430"/>
      <c r="Q120" s="430"/>
      <c r="R120" s="430"/>
      <c r="S120" s="430"/>
      <c r="T120" s="430"/>
      <c r="U120" s="430"/>
      <c r="V120" s="430"/>
      <c r="W120" s="430"/>
      <c r="X120" s="430"/>
      <c r="Y120" s="430"/>
      <c r="Z120" s="430"/>
      <c r="AA120" s="430"/>
      <c r="AB120" s="430"/>
      <c r="AC120" s="430"/>
      <c r="AD120" s="430"/>
      <c r="AE120" s="430"/>
      <c r="AF120" s="430"/>
      <c r="AG120" s="430"/>
      <c r="AH120" s="430"/>
      <c r="AI120" s="430"/>
      <c r="AJ120" s="430"/>
      <c r="AK120" s="430"/>
      <c r="AL120" s="430"/>
      <c r="AM120" s="430"/>
      <c r="AN120" s="430"/>
      <c r="AO120" s="431"/>
      <c r="AP120" s="430"/>
      <c r="AQ120" s="430"/>
      <c r="AR120" s="430"/>
      <c r="AS120" s="430"/>
      <c r="AT120" s="430"/>
      <c r="AU120" s="430"/>
      <c r="AV120" s="430"/>
      <c r="AW120" s="430"/>
      <c r="AX120" s="430"/>
      <c r="AY120" s="431"/>
      <c r="AZ120" s="430"/>
      <c r="BA120" s="430"/>
      <c r="BB120" s="430"/>
      <c r="BC120" s="430"/>
      <c r="BD120" s="430"/>
      <c r="BE120" s="430"/>
      <c r="BF120" s="430"/>
      <c r="BG120" s="430"/>
      <c r="BH120" s="430"/>
      <c r="BI120" s="431"/>
      <c r="BJ120" s="430"/>
      <c r="BK120" s="430"/>
      <c r="BL120" s="430"/>
      <c r="BM120" s="430"/>
      <c r="BN120" s="430"/>
      <c r="BO120" s="430"/>
      <c r="BP120" s="430"/>
      <c r="BQ120" s="430"/>
      <c r="BR120" s="430"/>
      <c r="BS120" s="430"/>
      <c r="BT120" s="430"/>
      <c r="BU120" s="430"/>
      <c r="BV120" s="430"/>
      <c r="BW120" s="430"/>
      <c r="BX120" s="430"/>
      <c r="BY120" s="430"/>
      <c r="BZ120" s="430"/>
      <c r="CA120" s="430"/>
      <c r="CB120" s="430"/>
      <c r="CC120" s="430"/>
      <c r="CD120" s="430"/>
      <c r="CE120" s="430"/>
      <c r="CF120" s="430"/>
      <c r="CG120" s="430"/>
      <c r="CH120" s="430"/>
      <c r="CI120" s="430"/>
      <c r="CJ120" s="430"/>
      <c r="CK120" s="430"/>
      <c r="CL120" s="430"/>
      <c r="CM120" s="431"/>
      <c r="CN120" s="430"/>
      <c r="CO120" s="430"/>
      <c r="CP120" s="430"/>
      <c r="CQ120" s="430"/>
      <c r="CR120" s="430"/>
      <c r="CS120" s="430"/>
      <c r="CT120" s="430"/>
      <c r="CU120" s="430"/>
      <c r="CV120" s="430"/>
      <c r="CW120" s="431"/>
      <c r="CX120" s="430"/>
      <c r="CY120" s="430"/>
      <c r="CZ120" s="430"/>
      <c r="DA120" s="430"/>
      <c r="DB120" s="430"/>
      <c r="DC120" s="430"/>
      <c r="DD120" s="430"/>
      <c r="DE120" s="430"/>
      <c r="DF120" s="430"/>
      <c r="DG120" s="431"/>
      <c r="DH120" s="430"/>
      <c r="DI120" s="430"/>
      <c r="DJ120" s="430"/>
      <c r="DK120" s="430"/>
      <c r="DL120" s="430"/>
      <c r="DM120" s="430"/>
      <c r="DN120" s="430"/>
      <c r="DO120" s="430"/>
      <c r="DP120" s="430"/>
      <c r="DQ120" s="431"/>
      <c r="DR120" s="430"/>
      <c r="DS120" s="430"/>
      <c r="DT120" s="430"/>
      <c r="DU120" s="430"/>
      <c r="DV120" s="430"/>
      <c r="DW120" s="430"/>
      <c r="DX120" s="430"/>
      <c r="DY120" s="430"/>
      <c r="DZ120" s="430"/>
      <c r="EA120" s="430"/>
      <c r="EB120" s="430"/>
      <c r="EC120" s="430"/>
      <c r="ED120" s="430"/>
      <c r="EE120" s="430"/>
      <c r="EF120" s="430"/>
      <c r="EG120" s="430"/>
      <c r="EH120" s="430"/>
      <c r="EI120" s="430"/>
      <c r="EJ120" s="430"/>
      <c r="EK120" s="430"/>
      <c r="EL120" s="430"/>
      <c r="EM120" s="430"/>
    </row>
    <row r="121" spans="1:169">
      <c r="B121" s="403" t="s">
        <v>1204</v>
      </c>
    </row>
    <row r="122" spans="1:169">
      <c r="B122" s="1774" t="s">
        <v>1232</v>
      </c>
      <c r="C122" s="1775"/>
      <c r="D122" s="1776"/>
      <c r="E122" s="435"/>
      <c r="F122" s="435"/>
    </row>
    <row r="123" spans="1:169" ht="57">
      <c r="B123" s="426" t="s">
        <v>1205</v>
      </c>
      <c r="C123" s="427" t="s">
        <v>1206</v>
      </c>
      <c r="D123" s="427" t="s">
        <v>1220</v>
      </c>
      <c r="E123" s="435"/>
      <c r="F123" s="435"/>
    </row>
    <row r="124" spans="1:169">
      <c r="B124" s="426" t="s">
        <v>1207</v>
      </c>
      <c r="C124" s="428">
        <f>+N113</f>
        <v>1.8868840322247471</v>
      </c>
      <c r="D124" s="428">
        <f>+W113</f>
        <v>1.3743611309999999</v>
      </c>
      <c r="E124" s="436"/>
      <c r="F124" s="436"/>
    </row>
    <row r="125" spans="1:169">
      <c r="B125" s="426" t="s">
        <v>167</v>
      </c>
      <c r="C125" s="428">
        <f>+X113</f>
        <v>2.8017242718446709</v>
      </c>
      <c r="D125" s="428">
        <f>+AG113</f>
        <v>1.8869838795999998</v>
      </c>
      <c r="F125" s="436"/>
    </row>
    <row r="126" spans="1:169">
      <c r="B126" s="426" t="s">
        <v>168</v>
      </c>
      <c r="C126" s="428">
        <f>+AH113</f>
        <v>3.0387505887213382</v>
      </c>
      <c r="D126" s="428">
        <f>+AQ113</f>
        <v>2.0280877900000003</v>
      </c>
      <c r="F126" s="436"/>
    </row>
    <row r="127" spans="1:169">
      <c r="B127" s="426" t="s">
        <v>169</v>
      </c>
      <c r="C127" s="428">
        <f>+AR113</f>
        <v>3.3575705432761827</v>
      </c>
      <c r="D127" s="428">
        <f>+BA113</f>
        <v>2.2526200509999996</v>
      </c>
      <c r="F127" s="436"/>
    </row>
    <row r="128" spans="1:169">
      <c r="B128" s="426" t="s">
        <v>1208</v>
      </c>
      <c r="C128" s="428">
        <f>+BB113</f>
        <v>3.3694610204503306</v>
      </c>
      <c r="D128" s="428">
        <f>+BK113</f>
        <v>2.2811773900000003</v>
      </c>
      <c r="F128" s="436"/>
    </row>
    <row r="129" spans="2:6">
      <c r="B129" s="426" t="s">
        <v>1209</v>
      </c>
      <c r="C129" s="428">
        <f>+BL113</f>
        <v>3.4238191282792814</v>
      </c>
      <c r="D129" s="428">
        <f>+BU113</f>
        <v>2.3316749209999998</v>
      </c>
      <c r="F129" s="436"/>
    </row>
    <row r="130" spans="2:6">
      <c r="B130" s="426" t="s">
        <v>1210</v>
      </c>
      <c r="C130" s="428">
        <f>+BV113</f>
        <v>3.6023401776492463</v>
      </c>
      <c r="D130" s="428">
        <f>+CE113</f>
        <v>2.4261636750000002</v>
      </c>
      <c r="F130" s="436"/>
    </row>
    <row r="131" spans="2:6">
      <c r="B131" s="426" t="s">
        <v>1211</v>
      </c>
      <c r="C131" s="428">
        <f>+CF113</f>
        <v>3.5147729394753258</v>
      </c>
      <c r="D131" s="428">
        <f>+CO113</f>
        <v>2.0516942130000002</v>
      </c>
      <c r="F131" s="436"/>
    </row>
    <row r="132" spans="2:6">
      <c r="B132" s="426" t="s">
        <v>1212</v>
      </c>
      <c r="C132" s="428">
        <f>+CP113</f>
        <v>3.5053253460028921</v>
      </c>
      <c r="D132" s="428">
        <f>+CY113</f>
        <v>2.0509516459999997</v>
      </c>
      <c r="F132" s="436"/>
    </row>
    <row r="133" spans="2:6">
      <c r="B133" s="426" t="s">
        <v>1213</v>
      </c>
      <c r="C133" s="428">
        <f>+CZ113</f>
        <v>3.4976615988432251</v>
      </c>
      <c r="D133" s="428">
        <f>+DI113</f>
        <v>2.0083237999999999</v>
      </c>
      <c r="F133" s="436"/>
    </row>
    <row r="134" spans="2:6">
      <c r="B134" s="426" t="s">
        <v>1214</v>
      </c>
      <c r="C134" s="428">
        <f>+DJ113</f>
        <v>3.4426730014459825</v>
      </c>
      <c r="D134" s="428">
        <f>+DS113</f>
        <v>1.9424647789999998</v>
      </c>
      <c r="F134" s="436"/>
    </row>
    <row r="135" spans="2:6">
      <c r="B135" s="426" t="s">
        <v>1215</v>
      </c>
      <c r="C135" s="428">
        <f>+DT113</f>
        <v>4.0711597190663085</v>
      </c>
      <c r="D135" s="428">
        <f>+EC113</f>
        <v>2.2749014535000001</v>
      </c>
      <c r="E135" s="436"/>
      <c r="F135" s="436"/>
    </row>
    <row r="136" spans="2:6">
      <c r="B136" s="426" t="s">
        <v>18</v>
      </c>
      <c r="C136" s="811">
        <f>SUM(C124:C135)</f>
        <v>39.51214236727953</v>
      </c>
      <c r="D136" s="811">
        <f>SUM(D124:D135)</f>
        <v>24.909404729099997</v>
      </c>
      <c r="E136" s="436"/>
      <c r="F136" s="436"/>
    </row>
    <row r="137" spans="2:6">
      <c r="B137" s="429" t="s">
        <v>1216</v>
      </c>
      <c r="C137" s="408"/>
      <c r="D137" s="810">
        <f>+D136/C136*10</f>
        <v>6.3042404781695076</v>
      </c>
    </row>
    <row r="138" spans="2:6" ht="28.5" customHeight="1">
      <c r="B138" s="1773" t="s">
        <v>1247</v>
      </c>
      <c r="C138" s="1773"/>
      <c r="D138" s="1773"/>
      <c r="E138" s="450"/>
      <c r="F138" s="437"/>
    </row>
  </sheetData>
  <mergeCells count="105">
    <mergeCell ref="DK6:DL6"/>
    <mergeCell ref="DM6:DN6"/>
    <mergeCell ref="DO6:DP6"/>
    <mergeCell ref="DR6:DS6"/>
    <mergeCell ref="DT6:DT7"/>
    <mergeCell ref="DU6:DV6"/>
    <mergeCell ref="CZ6:CZ7"/>
    <mergeCell ref="DA6:DB6"/>
    <mergeCell ref="DC6:DD6"/>
    <mergeCell ref="DE6:DF6"/>
    <mergeCell ref="ES5:FC5"/>
    <mergeCell ref="DH6:DI6"/>
    <mergeCell ref="CK6:CL6"/>
    <mergeCell ref="BO6:BP6"/>
    <mergeCell ref="BQ6:BR6"/>
    <mergeCell ref="BT6:BU6"/>
    <mergeCell ref="BV6:BV7"/>
    <mergeCell ref="BW6:BX6"/>
    <mergeCell ref="BY6:BZ6"/>
    <mergeCell ref="DW6:DX6"/>
    <mergeCell ref="EH6:EI6"/>
    <mergeCell ref="EJ6:EK6"/>
    <mergeCell ref="EM6:EN6"/>
    <mergeCell ref="EE6:EE7"/>
    <mergeCell ref="EF6:EG6"/>
    <mergeCell ref="DJ6:DJ7"/>
    <mergeCell ref="CN6:CO6"/>
    <mergeCell ref="CP6:CP7"/>
    <mergeCell ref="CQ6:CR6"/>
    <mergeCell ref="CS6:CT6"/>
    <mergeCell ref="CU6:CV6"/>
    <mergeCell ref="CX6:CY6"/>
    <mergeCell ref="EB6:EC6"/>
    <mergeCell ref="ED6:ED7"/>
    <mergeCell ref="FN5:FN7"/>
    <mergeCell ref="FH5:FH7"/>
    <mergeCell ref="FI5:FI7"/>
    <mergeCell ref="FJ5:FJ7"/>
    <mergeCell ref="FK5:FK7"/>
    <mergeCell ref="FL5:FL7"/>
    <mergeCell ref="BM6:BN6"/>
    <mergeCell ref="AR6:AR7"/>
    <mergeCell ref="AS6:AT6"/>
    <mergeCell ref="AU6:AV6"/>
    <mergeCell ref="AW6:AX6"/>
    <mergeCell ref="AZ6:BA6"/>
    <mergeCell ref="BB6:BB7"/>
    <mergeCell ref="BC6:BD6"/>
    <mergeCell ref="BE6:BF6"/>
    <mergeCell ref="BG6:BH6"/>
    <mergeCell ref="DY6:DZ6"/>
    <mergeCell ref="CA6:CB6"/>
    <mergeCell ref="CD6:CE6"/>
    <mergeCell ref="FM5:FM7"/>
    <mergeCell ref="CP5:CY5"/>
    <mergeCell ref="CZ5:DI5"/>
    <mergeCell ref="DJ5:DS5"/>
    <mergeCell ref="DT5:EC5"/>
    <mergeCell ref="CI6:CJ6"/>
    <mergeCell ref="A4:R4"/>
    <mergeCell ref="S4:T4"/>
    <mergeCell ref="A5:A7"/>
    <mergeCell ref="B5:B7"/>
    <mergeCell ref="C5:C7"/>
    <mergeCell ref="D5:D7"/>
    <mergeCell ref="G5:G7"/>
    <mergeCell ref="N5:W5"/>
    <mergeCell ref="X5:AG5"/>
    <mergeCell ref="N6:N7"/>
    <mergeCell ref="O6:P6"/>
    <mergeCell ref="Q6:R6"/>
    <mergeCell ref="S6:T6"/>
    <mergeCell ref="V6:W6"/>
    <mergeCell ref="X6:X7"/>
    <mergeCell ref="Y6:Z6"/>
    <mergeCell ref="AA6:AB6"/>
    <mergeCell ref="AC6:AD6"/>
    <mergeCell ref="AF6:AG6"/>
    <mergeCell ref="I5:I7"/>
    <mergeCell ref="J5:J7"/>
    <mergeCell ref="AP6:AQ6"/>
    <mergeCell ref="F117:EP117"/>
    <mergeCell ref="K5:K7"/>
    <mergeCell ref="L5:L7"/>
    <mergeCell ref="E5:E7"/>
    <mergeCell ref="ED5:EP5"/>
    <mergeCell ref="B138:D138"/>
    <mergeCell ref="F5:F7"/>
    <mergeCell ref="B122:D122"/>
    <mergeCell ref="M5:M7"/>
    <mergeCell ref="H5:H7"/>
    <mergeCell ref="CF5:CO5"/>
    <mergeCell ref="AH5:AQ5"/>
    <mergeCell ref="AR5:BA5"/>
    <mergeCell ref="BB5:BK5"/>
    <mergeCell ref="BL5:BU5"/>
    <mergeCell ref="BV5:CE5"/>
    <mergeCell ref="AH6:AH7"/>
    <mergeCell ref="AI6:AJ6"/>
    <mergeCell ref="AK6:AL6"/>
    <mergeCell ref="AM6:AN6"/>
    <mergeCell ref="BJ6:BK6"/>
    <mergeCell ref="BL6:BL7"/>
    <mergeCell ref="CF6:CF7"/>
    <mergeCell ref="CG6:CH6"/>
  </mergeCells>
  <printOptions horizontalCentered="1"/>
  <pageMargins left="0.70866141732283472" right="0.70866141732283472" top="0.74803149606299213" bottom="0.74803149606299213" header="0.31496062992125984" footer="0.31496062992125984"/>
  <pageSetup paperSize="8" scale="13" orientation="landscape" r:id="rId1"/>
  <colBreaks count="4" manualBreakCount="4">
    <brk id="23" max="137" man="1"/>
    <brk id="53" max="137" man="1"/>
    <brk id="83" max="137" man="1"/>
    <brk id="113" max="137"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ADBA6-BF50-4D27-929A-72A902A272E0}">
  <sheetPr>
    <tabColor rgb="FF00FFFF"/>
  </sheetPr>
  <dimension ref="A1:FN137"/>
  <sheetViews>
    <sheetView showGridLines="0" view="pageBreakPreview" zoomScale="80" zoomScaleNormal="100" zoomScaleSheetLayoutView="80" workbookViewId="0">
      <pane xSplit="2" ySplit="7" topLeftCell="C97" activePane="bottomRight" state="frozen"/>
      <selection pane="topRight" activeCell="C1" sqref="C1"/>
      <selection pane="bottomLeft" activeCell="A8" sqref="A8"/>
      <selection pane="bottomRight" activeCell="CL108" sqref="CL108"/>
    </sheetView>
  </sheetViews>
  <sheetFormatPr defaultColWidth="9.19921875" defaultRowHeight="14.25"/>
  <cols>
    <col min="1" max="1" width="4.53125" style="425" customWidth="1"/>
    <col min="2" max="2" width="31.53125" style="398" customWidth="1"/>
    <col min="3" max="3" width="16.19921875" style="398" customWidth="1"/>
    <col min="4" max="6" width="14.19921875" style="398" customWidth="1"/>
    <col min="7" max="7" width="12.19921875" style="398" bestFit="1" customWidth="1"/>
    <col min="8" max="8" width="12.19921875" style="398" customWidth="1"/>
    <col min="9" max="9" width="13.46484375" style="398" customWidth="1"/>
    <col min="10" max="10" width="22.19921875" style="398" customWidth="1"/>
    <col min="11" max="11" width="17.796875" style="398" customWidth="1"/>
    <col min="12" max="12" width="15.796875" style="398" customWidth="1"/>
    <col min="13" max="13" width="17" style="398" customWidth="1"/>
    <col min="14" max="14" width="10.53125" style="398" customWidth="1"/>
    <col min="15" max="15" width="9.19921875" style="398" customWidth="1"/>
    <col min="16" max="16" width="9.796875" style="398" customWidth="1"/>
    <col min="17" max="18" width="9.19921875" style="398" customWidth="1"/>
    <col min="19" max="19" width="7.19921875" style="398" bestFit="1" customWidth="1"/>
    <col min="20" max="20" width="11.46484375" style="398" customWidth="1"/>
    <col min="21" max="21" width="10" style="398" bestFit="1" customWidth="1"/>
    <col min="22" max="22" width="7.19921875" style="398" bestFit="1" customWidth="1"/>
    <col min="23" max="23" width="9.19921875" style="398" customWidth="1"/>
    <col min="24" max="24" width="10" style="398" bestFit="1" customWidth="1"/>
    <col min="25" max="25" width="7.19921875" style="398" bestFit="1" customWidth="1"/>
    <col min="26" max="26" width="10" style="398" bestFit="1" customWidth="1"/>
    <col min="27" max="27" width="7.19921875" style="398" bestFit="1" customWidth="1"/>
    <col min="28" max="28" width="10" style="398" bestFit="1" customWidth="1"/>
    <col min="29" max="29" width="9.19921875" style="398" customWidth="1"/>
    <col min="30" max="30" width="10.53125" style="398" customWidth="1"/>
    <col min="31" max="31" width="9.19921875" style="398" customWidth="1"/>
    <col min="32" max="32" width="7.19921875" style="398" bestFit="1" customWidth="1"/>
    <col min="33" max="33" width="9.19921875" style="398" customWidth="1"/>
    <col min="34" max="34" width="10" style="398" bestFit="1" customWidth="1"/>
    <col min="35" max="35" width="7.19921875" style="398" bestFit="1" customWidth="1"/>
    <col min="36" max="36" width="10" style="398" bestFit="1" customWidth="1"/>
    <col min="37" max="37" width="7.19921875" style="398" bestFit="1" customWidth="1"/>
    <col min="38" max="38" width="10" style="398" bestFit="1" customWidth="1"/>
    <col min="39" max="39" width="7.19921875" style="398" bestFit="1" customWidth="1"/>
    <col min="40" max="40" width="9.19921875" style="398" customWidth="1"/>
    <col min="41" max="41" width="10" style="400" bestFit="1" customWidth="1"/>
    <col min="42" max="43" width="9.19921875" style="398" customWidth="1"/>
    <col min="44" max="44" width="10" style="398" bestFit="1" customWidth="1"/>
    <col min="45" max="45" width="9.19921875" style="398" customWidth="1"/>
    <col min="46" max="46" width="10" style="398" bestFit="1" customWidth="1"/>
    <col min="47" max="47" width="9.19921875" style="398" customWidth="1"/>
    <col min="48" max="48" width="11.46484375" style="398" customWidth="1"/>
    <col min="49" max="50" width="9.19921875" style="398" customWidth="1"/>
    <col min="51" max="51" width="10" style="400" bestFit="1" customWidth="1"/>
    <col min="52" max="53" width="9.19921875" style="398" customWidth="1"/>
    <col min="54" max="54" width="10" style="398" bestFit="1" customWidth="1"/>
    <col min="55" max="55" width="9.19921875" style="398" customWidth="1"/>
    <col min="56" max="56" width="10" style="398" bestFit="1" customWidth="1"/>
    <col min="57" max="57" width="9.19921875" style="398" customWidth="1"/>
    <col min="58" max="58" width="10" style="398" bestFit="1" customWidth="1"/>
    <col min="59" max="60" width="9.19921875" style="398" customWidth="1"/>
    <col min="61" max="61" width="12" style="400" customWidth="1"/>
    <col min="62" max="63" width="9.19921875" style="398" customWidth="1"/>
    <col min="64" max="64" width="10" style="398" bestFit="1" customWidth="1"/>
    <col min="65" max="67" width="9.19921875" style="398" customWidth="1"/>
    <col min="68" max="68" width="10" style="398" bestFit="1" customWidth="1"/>
    <col min="69" max="69" width="7.19921875" style="398" bestFit="1" customWidth="1"/>
    <col min="70" max="70" width="9.46484375" style="398" bestFit="1" customWidth="1"/>
    <col min="71" max="71" width="10" style="398" bestFit="1" customWidth="1"/>
    <col min="72" max="72" width="7.19921875" style="398" bestFit="1" customWidth="1"/>
    <col min="73" max="73" width="9.19921875" style="398" customWidth="1"/>
    <col min="74" max="74" width="10" style="398" bestFit="1" customWidth="1"/>
    <col min="75" max="75" width="7.19921875" style="398" bestFit="1" customWidth="1"/>
    <col min="76" max="76" width="10" style="398" bestFit="1" customWidth="1"/>
    <col min="77" max="77" width="7.19921875" style="398" bestFit="1" customWidth="1"/>
    <col min="78" max="78" width="10" style="398" bestFit="1" customWidth="1"/>
    <col min="79" max="80" width="9.19921875" style="398" customWidth="1"/>
    <col min="81" max="81" width="10" style="398" bestFit="1" customWidth="1"/>
    <col min="82" max="82" width="7.19921875" style="398" bestFit="1" customWidth="1"/>
    <col min="83" max="83" width="9.19921875" style="398" customWidth="1"/>
    <col min="84" max="84" width="10" style="398" bestFit="1" customWidth="1"/>
    <col min="85" max="85" width="9" style="398" customWidth="1"/>
    <col min="86" max="86" width="10" style="398" bestFit="1" customWidth="1"/>
    <col min="87" max="87" width="9.19921875" style="398" customWidth="1"/>
    <col min="88" max="88" width="10" style="398" bestFit="1" customWidth="1"/>
    <col min="89" max="90" width="9.19921875" style="398" customWidth="1"/>
    <col min="91" max="91" width="10" style="400" bestFit="1" customWidth="1"/>
    <col min="92" max="92" width="9.19921875" style="398" customWidth="1"/>
    <col min="93" max="93" width="10.19921875" style="398" customWidth="1"/>
    <col min="94" max="94" width="10" style="398" bestFit="1" customWidth="1"/>
    <col min="95" max="95" width="9.19921875" style="398" customWidth="1"/>
    <col min="96" max="96" width="10" style="398" bestFit="1" customWidth="1"/>
    <col min="97" max="97" width="9.19921875" style="398" customWidth="1"/>
    <col min="98" max="98" width="10" style="398" bestFit="1" customWidth="1"/>
    <col min="99" max="100" width="9.19921875" style="398" customWidth="1"/>
    <col min="101" max="101" width="10" style="400" bestFit="1" customWidth="1"/>
    <col min="102" max="102" width="9.19921875" style="398" customWidth="1"/>
    <col min="103" max="103" width="11.19921875" style="398" customWidth="1"/>
    <col min="104" max="104" width="10" style="398" bestFit="1" customWidth="1"/>
    <col min="105" max="105" width="9.19921875" style="398" customWidth="1"/>
    <col min="106" max="106" width="10" style="398" bestFit="1" customWidth="1"/>
    <col min="107" max="107" width="9.796875" style="398" customWidth="1"/>
    <col min="108" max="108" width="10" style="398" bestFit="1" customWidth="1"/>
    <col min="109" max="110" width="9.19921875" style="398" customWidth="1"/>
    <col min="111" max="111" width="10" style="400" bestFit="1" customWidth="1"/>
    <col min="112" max="112" width="9.19921875" style="398" customWidth="1"/>
    <col min="113" max="114" width="10" style="398" bestFit="1" customWidth="1"/>
    <col min="115" max="115" width="7.19921875" style="398" bestFit="1" customWidth="1"/>
    <col min="116" max="116" width="10" style="398" bestFit="1" customWidth="1"/>
    <col min="117" max="117" width="7.19921875" style="398" bestFit="1" customWidth="1"/>
    <col min="118" max="118" width="10" style="398" bestFit="1" customWidth="1"/>
    <col min="119" max="120" width="9.19921875" style="398" customWidth="1"/>
    <col min="121" max="121" width="10" style="400" bestFit="1" customWidth="1"/>
    <col min="122" max="122" width="9.19921875" style="398" customWidth="1"/>
    <col min="123" max="124" width="11.53125" style="398" customWidth="1"/>
    <col min="125" max="129" width="9.19921875" style="398" customWidth="1"/>
    <col min="130" max="130" width="10.19921875" style="398" customWidth="1"/>
    <col min="131" max="132" width="9.19921875" style="398" customWidth="1"/>
    <col min="133" max="133" width="15.46484375" style="398" customWidth="1"/>
    <col min="134" max="134" width="13.19921875" style="398" customWidth="1"/>
    <col min="135" max="135" width="10" style="398" bestFit="1" customWidth="1"/>
    <col min="136" max="136" width="7.19921875" style="398" bestFit="1" customWidth="1"/>
    <col min="137" max="137" width="10" style="398" bestFit="1" customWidth="1"/>
    <col min="138" max="138" width="7.19921875" style="398" bestFit="1" customWidth="1"/>
    <col min="139" max="139" width="10" style="398" bestFit="1" customWidth="1"/>
    <col min="140" max="140" width="7.19921875" style="398" bestFit="1" customWidth="1"/>
    <col min="141" max="142" width="10" style="398" bestFit="1" customWidth="1"/>
    <col min="143" max="143" width="11.19921875" style="398" bestFit="1" customWidth="1"/>
    <col min="144" max="144" width="9.19921875" style="398" customWidth="1"/>
    <col min="145" max="145" width="16" style="398" customWidth="1"/>
    <col min="146" max="146" width="12.796875" style="398" customWidth="1"/>
    <col min="147" max="161" width="9.19921875" style="398" customWidth="1"/>
    <col min="162" max="162" width="17.19921875" style="398" customWidth="1"/>
    <col min="163" max="163" width="13.796875" style="399" customWidth="1"/>
    <col min="164" max="164" width="9.19921875" style="398" customWidth="1"/>
    <col min="165" max="165" width="13.796875" style="398" customWidth="1"/>
    <col min="166" max="167" width="9.19921875" style="398" customWidth="1"/>
    <col min="168" max="16384" width="9.19921875" style="398"/>
  </cols>
  <sheetData>
    <row r="1" spans="1:170">
      <c r="A1" s="397" t="s">
        <v>2145</v>
      </c>
      <c r="B1" s="397"/>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397"/>
      <c r="DK1" s="397"/>
      <c r="DL1" s="397"/>
      <c r="DM1" s="397"/>
      <c r="DN1" s="397"/>
      <c r="DO1" s="397"/>
      <c r="DP1" s="397"/>
      <c r="DQ1" s="397"/>
      <c r="DR1" s="397"/>
      <c r="DS1" s="397"/>
      <c r="DT1" s="397"/>
      <c r="DU1" s="397"/>
      <c r="DV1" s="397"/>
      <c r="DW1" s="397"/>
      <c r="DX1" s="397"/>
      <c r="DY1" s="397"/>
      <c r="DZ1" s="397"/>
      <c r="EA1" s="397"/>
      <c r="EB1" s="397"/>
      <c r="EC1" s="397"/>
      <c r="ED1" s="397"/>
      <c r="EE1" s="397"/>
      <c r="EF1" s="397"/>
      <c r="EG1" s="397"/>
      <c r="EH1" s="397"/>
      <c r="EI1" s="397"/>
      <c r="EJ1" s="397"/>
      <c r="EK1" s="397"/>
      <c r="EL1" s="397"/>
      <c r="EM1" s="397"/>
    </row>
    <row r="2" spans="1:170">
      <c r="A2" s="241" t="str">
        <f>+'BS1'!A2</f>
        <v>NIDP DEVELOPERS PRIVATE LIMITED</v>
      </c>
      <c r="B2" s="813"/>
      <c r="C2" s="813"/>
      <c r="D2" s="813"/>
      <c r="E2" s="813"/>
      <c r="F2" s="813"/>
      <c r="G2" s="813"/>
      <c r="H2" s="813"/>
      <c r="I2" s="813"/>
      <c r="J2" s="813"/>
      <c r="K2" s="813"/>
      <c r="L2" s="813"/>
      <c r="M2" s="813"/>
      <c r="N2" s="813"/>
      <c r="O2" s="813"/>
      <c r="P2" s="813"/>
      <c r="Q2" s="813"/>
      <c r="R2" s="813"/>
      <c r="S2" s="813"/>
      <c r="T2" s="813"/>
      <c r="U2" s="813"/>
      <c r="V2" s="813"/>
      <c r="W2" s="813"/>
      <c r="X2" s="813"/>
    </row>
    <row r="3" spans="1:170">
      <c r="A3" s="397" t="s">
        <v>2146</v>
      </c>
      <c r="B3" s="397"/>
      <c r="C3" s="470"/>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row>
    <row r="4" spans="1:170">
      <c r="A4" s="1784"/>
      <c r="B4" s="1784"/>
      <c r="C4" s="1784"/>
      <c r="D4" s="1784"/>
      <c r="E4" s="1784"/>
      <c r="F4" s="1784"/>
      <c r="G4" s="1784"/>
      <c r="H4" s="1784"/>
      <c r="I4" s="1784"/>
      <c r="J4" s="1784"/>
      <c r="K4" s="1784"/>
      <c r="L4" s="1784"/>
      <c r="M4" s="1784"/>
      <c r="N4" s="1784"/>
      <c r="O4" s="1784"/>
      <c r="P4" s="1784"/>
      <c r="Q4" s="1784"/>
      <c r="R4" s="1784"/>
      <c r="S4" s="1785"/>
      <c r="T4" s="1785"/>
      <c r="AO4" s="398"/>
      <c r="AY4" s="398"/>
      <c r="BI4" s="398"/>
      <c r="CM4" s="398"/>
      <c r="CW4" s="398"/>
      <c r="DG4" s="398"/>
      <c r="DQ4" s="398"/>
      <c r="FG4" s="398"/>
    </row>
    <row r="5" spans="1:170" s="403" customFormat="1" ht="12.75" customHeight="1">
      <c r="A5" s="1786" t="s">
        <v>8</v>
      </c>
      <c r="B5" s="1786" t="s">
        <v>1187</v>
      </c>
      <c r="C5" s="1769" t="s">
        <v>1188</v>
      </c>
      <c r="D5" s="1769" t="s">
        <v>1189</v>
      </c>
      <c r="E5" s="1769" t="s">
        <v>1272</v>
      </c>
      <c r="F5" s="1769" t="s">
        <v>1227</v>
      </c>
      <c r="G5" s="1769" t="s">
        <v>1190</v>
      </c>
      <c r="H5" s="1769" t="s">
        <v>1239</v>
      </c>
      <c r="I5" s="1769" t="s">
        <v>1235</v>
      </c>
      <c r="J5" s="1766" t="s">
        <v>1268</v>
      </c>
      <c r="K5" s="1766" t="s">
        <v>1269</v>
      </c>
      <c r="L5" s="1766" t="s">
        <v>1270</v>
      </c>
      <c r="M5" s="1766" t="s">
        <v>1271</v>
      </c>
      <c r="N5" s="1772" t="s">
        <v>166</v>
      </c>
      <c r="O5" s="1779"/>
      <c r="P5" s="1779"/>
      <c r="Q5" s="1779"/>
      <c r="R5" s="1779"/>
      <c r="S5" s="1779"/>
      <c r="T5" s="1779"/>
      <c r="U5" s="1779"/>
      <c r="V5" s="1779"/>
      <c r="W5" s="1779"/>
      <c r="X5" s="1772" t="s">
        <v>167</v>
      </c>
      <c r="Y5" s="1772"/>
      <c r="Z5" s="1779"/>
      <c r="AA5" s="1779"/>
      <c r="AB5" s="1779"/>
      <c r="AC5" s="1779"/>
      <c r="AD5" s="1779"/>
      <c r="AE5" s="1779"/>
      <c r="AF5" s="1779"/>
      <c r="AG5" s="1779"/>
      <c r="AH5" s="1772" t="s">
        <v>168</v>
      </c>
      <c r="AI5" s="1779"/>
      <c r="AJ5" s="1779"/>
      <c r="AK5" s="1779"/>
      <c r="AL5" s="1779"/>
      <c r="AM5" s="1779"/>
      <c r="AN5" s="1779"/>
      <c r="AO5" s="1779"/>
      <c r="AP5" s="1779"/>
      <c r="AQ5" s="1779"/>
      <c r="AR5" s="1777" t="s">
        <v>169</v>
      </c>
      <c r="AS5" s="1778"/>
      <c r="AT5" s="1778"/>
      <c r="AU5" s="1778"/>
      <c r="AV5" s="1778"/>
      <c r="AW5" s="1778"/>
      <c r="AX5" s="1778"/>
      <c r="AY5" s="1778"/>
      <c r="AZ5" s="1778"/>
      <c r="BA5" s="1778"/>
      <c r="BB5" s="1777" t="s">
        <v>170</v>
      </c>
      <c r="BC5" s="1778"/>
      <c r="BD5" s="1778"/>
      <c r="BE5" s="1778"/>
      <c r="BF5" s="1778"/>
      <c r="BG5" s="1778"/>
      <c r="BH5" s="1778"/>
      <c r="BI5" s="1778"/>
      <c r="BJ5" s="1778"/>
      <c r="BK5" s="1778"/>
      <c r="BL5" s="1777" t="s">
        <v>171</v>
      </c>
      <c r="BM5" s="1778"/>
      <c r="BN5" s="1778"/>
      <c r="BO5" s="1778"/>
      <c r="BP5" s="1778"/>
      <c r="BQ5" s="1778"/>
      <c r="BR5" s="1778"/>
      <c r="BS5" s="1778"/>
      <c r="BT5" s="1778"/>
      <c r="BU5" s="1778"/>
      <c r="BV5" s="1777" t="s">
        <v>176</v>
      </c>
      <c r="BW5" s="1778"/>
      <c r="BX5" s="1778"/>
      <c r="BY5" s="1778"/>
      <c r="BZ5" s="1778"/>
      <c r="CA5" s="1778"/>
      <c r="CB5" s="1778"/>
      <c r="CC5" s="1778"/>
      <c r="CD5" s="1778"/>
      <c r="CE5" s="1778"/>
      <c r="CF5" s="1777" t="s">
        <v>172</v>
      </c>
      <c r="CG5" s="1778"/>
      <c r="CH5" s="1778"/>
      <c r="CI5" s="1778"/>
      <c r="CJ5" s="1778"/>
      <c r="CK5" s="1778"/>
      <c r="CL5" s="1778"/>
      <c r="CM5" s="1778"/>
      <c r="CN5" s="1778"/>
      <c r="CO5" s="1778"/>
      <c r="CP5" s="1777" t="s">
        <v>173</v>
      </c>
      <c r="CQ5" s="1778"/>
      <c r="CR5" s="1778"/>
      <c r="CS5" s="1778"/>
      <c r="CT5" s="1778"/>
      <c r="CU5" s="1778"/>
      <c r="CV5" s="1778"/>
      <c r="CW5" s="1778"/>
      <c r="CX5" s="1778"/>
      <c r="CY5" s="1778"/>
      <c r="CZ5" s="1777" t="s">
        <v>175</v>
      </c>
      <c r="DA5" s="1778"/>
      <c r="DB5" s="1778"/>
      <c r="DC5" s="1778"/>
      <c r="DD5" s="1778"/>
      <c r="DE5" s="1778"/>
      <c r="DF5" s="1778"/>
      <c r="DG5" s="1778"/>
      <c r="DH5" s="1778"/>
      <c r="DI5" s="1778"/>
      <c r="DJ5" s="1777" t="s">
        <v>174</v>
      </c>
      <c r="DK5" s="1778"/>
      <c r="DL5" s="1778"/>
      <c r="DM5" s="1778"/>
      <c r="DN5" s="1778"/>
      <c r="DO5" s="1778"/>
      <c r="DP5" s="1778"/>
      <c r="DQ5" s="1778"/>
      <c r="DR5" s="1778"/>
      <c r="DS5" s="1778"/>
      <c r="DT5" s="1772" t="s">
        <v>177</v>
      </c>
      <c r="DU5" s="1772"/>
      <c r="DV5" s="1779"/>
      <c r="DW5" s="1779"/>
      <c r="DX5" s="1779"/>
      <c r="DY5" s="1779"/>
      <c r="DZ5" s="1779"/>
      <c r="EA5" s="1779"/>
      <c r="EB5" s="1779"/>
      <c r="EC5" s="1779"/>
      <c r="ED5" s="1772" t="s">
        <v>18</v>
      </c>
      <c r="EE5" s="1772"/>
      <c r="EF5" s="1772"/>
      <c r="EG5" s="1772"/>
      <c r="EH5" s="1772"/>
      <c r="EI5" s="1772"/>
      <c r="EJ5" s="1772"/>
      <c r="EK5" s="1772"/>
      <c r="EL5" s="1772"/>
      <c r="EM5" s="1772"/>
      <c r="EN5" s="1772"/>
      <c r="EO5" s="1772"/>
      <c r="EP5" s="1772"/>
      <c r="EQ5" s="401"/>
      <c r="ER5" s="402"/>
      <c r="ES5" s="1792"/>
      <c r="ET5" s="1792"/>
      <c r="EU5" s="1792"/>
      <c r="EV5" s="1792"/>
      <c r="EW5" s="1792"/>
      <c r="EX5" s="1792"/>
      <c r="EY5" s="1792"/>
      <c r="EZ5" s="1792"/>
      <c r="FA5" s="1792"/>
      <c r="FB5" s="1792"/>
      <c r="FC5" s="1792"/>
      <c r="FH5" s="1791"/>
      <c r="FI5" s="1791"/>
      <c r="FJ5" s="1791"/>
      <c r="FK5" s="1791"/>
      <c r="FL5" s="1791"/>
      <c r="FM5" s="1791"/>
      <c r="FN5" s="1791"/>
    </row>
    <row r="6" spans="1:170" s="403" customFormat="1" ht="72" customHeight="1">
      <c r="A6" s="1787"/>
      <c r="B6" s="1787"/>
      <c r="C6" s="1770"/>
      <c r="D6" s="1770"/>
      <c r="E6" s="1770"/>
      <c r="F6" s="1770"/>
      <c r="G6" s="1770"/>
      <c r="H6" s="1770"/>
      <c r="I6" s="1770"/>
      <c r="J6" s="1767"/>
      <c r="K6" s="1767"/>
      <c r="L6" s="1767"/>
      <c r="M6" s="1767"/>
      <c r="N6" s="1780" t="s">
        <v>1184</v>
      </c>
      <c r="O6" s="1779" t="s">
        <v>602</v>
      </c>
      <c r="P6" s="1779"/>
      <c r="Q6" s="1779" t="s">
        <v>1236</v>
      </c>
      <c r="R6" s="1779"/>
      <c r="S6" s="1782" t="s">
        <v>2124</v>
      </c>
      <c r="T6" s="1783"/>
      <c r="U6" s="404" t="s">
        <v>1192</v>
      </c>
      <c r="V6" s="1782" t="s">
        <v>199</v>
      </c>
      <c r="W6" s="1783"/>
      <c r="X6" s="1780" t="s">
        <v>1184</v>
      </c>
      <c r="Y6" s="1789" t="s">
        <v>602</v>
      </c>
      <c r="Z6" s="1790"/>
      <c r="AA6" s="1782" t="s">
        <v>1191</v>
      </c>
      <c r="AB6" s="1783"/>
      <c r="AC6" s="1782" t="s">
        <v>2124</v>
      </c>
      <c r="AD6" s="1783"/>
      <c r="AE6" s="404" t="s">
        <v>1192</v>
      </c>
      <c r="AF6" s="1782" t="s">
        <v>199</v>
      </c>
      <c r="AG6" s="1783"/>
      <c r="AH6" s="1780" t="s">
        <v>1184</v>
      </c>
      <c r="AI6" s="1779" t="s">
        <v>1193</v>
      </c>
      <c r="AJ6" s="1779"/>
      <c r="AK6" s="1779" t="s">
        <v>1236</v>
      </c>
      <c r="AL6" s="1779"/>
      <c r="AM6" s="1782" t="s">
        <v>2124</v>
      </c>
      <c r="AN6" s="1783"/>
      <c r="AO6" s="404" t="s">
        <v>1192</v>
      </c>
      <c r="AP6" s="1779" t="s">
        <v>199</v>
      </c>
      <c r="AQ6" s="1779"/>
      <c r="AR6" s="1780" t="s">
        <v>1184</v>
      </c>
      <c r="AS6" s="1779" t="s">
        <v>1193</v>
      </c>
      <c r="AT6" s="1779"/>
      <c r="AU6" s="1779" t="s">
        <v>1236</v>
      </c>
      <c r="AV6" s="1779"/>
      <c r="AW6" s="1782" t="s">
        <v>2124</v>
      </c>
      <c r="AX6" s="1783"/>
      <c r="AY6" s="404" t="s">
        <v>1192</v>
      </c>
      <c r="AZ6" s="1779" t="s">
        <v>199</v>
      </c>
      <c r="BA6" s="1779"/>
      <c r="BB6" s="1780" t="s">
        <v>1184</v>
      </c>
      <c r="BC6" s="1779" t="s">
        <v>1193</v>
      </c>
      <c r="BD6" s="1779"/>
      <c r="BE6" s="1779" t="s">
        <v>1236</v>
      </c>
      <c r="BF6" s="1779"/>
      <c r="BG6" s="1782" t="s">
        <v>2124</v>
      </c>
      <c r="BH6" s="1783"/>
      <c r="BI6" s="404" t="s">
        <v>1192</v>
      </c>
      <c r="BJ6" s="1779" t="s">
        <v>199</v>
      </c>
      <c r="BK6" s="1779"/>
      <c r="BL6" s="1780" t="s">
        <v>1184</v>
      </c>
      <c r="BM6" s="1779" t="s">
        <v>1193</v>
      </c>
      <c r="BN6" s="1779"/>
      <c r="BO6" s="1779" t="s">
        <v>1236</v>
      </c>
      <c r="BP6" s="1779"/>
      <c r="BQ6" s="1782" t="s">
        <v>2124</v>
      </c>
      <c r="BR6" s="1783"/>
      <c r="BS6" s="404" t="s">
        <v>1192</v>
      </c>
      <c r="BT6" s="1782" t="s">
        <v>1194</v>
      </c>
      <c r="BU6" s="1783"/>
      <c r="BV6" s="1780" t="s">
        <v>1184</v>
      </c>
      <c r="BW6" s="1782" t="s">
        <v>1193</v>
      </c>
      <c r="BX6" s="1783"/>
      <c r="BY6" s="1779" t="s">
        <v>1236</v>
      </c>
      <c r="BZ6" s="1779"/>
      <c r="CA6" s="1782" t="s">
        <v>2124</v>
      </c>
      <c r="CB6" s="1783"/>
      <c r="CC6" s="404" t="s">
        <v>1192</v>
      </c>
      <c r="CD6" s="1782" t="s">
        <v>1194</v>
      </c>
      <c r="CE6" s="1783"/>
      <c r="CF6" s="1780" t="s">
        <v>1184</v>
      </c>
      <c r="CG6" s="1782" t="s">
        <v>1193</v>
      </c>
      <c r="CH6" s="1783"/>
      <c r="CI6" s="1779" t="s">
        <v>1236</v>
      </c>
      <c r="CJ6" s="1779"/>
      <c r="CK6" s="1782" t="s">
        <v>2124</v>
      </c>
      <c r="CL6" s="1783"/>
      <c r="CM6" s="404" t="s">
        <v>1192</v>
      </c>
      <c r="CN6" s="1782" t="s">
        <v>1194</v>
      </c>
      <c r="CO6" s="1783"/>
      <c r="CP6" s="1780" t="s">
        <v>1184</v>
      </c>
      <c r="CQ6" s="1782" t="s">
        <v>1193</v>
      </c>
      <c r="CR6" s="1783"/>
      <c r="CS6" s="1779" t="s">
        <v>1236</v>
      </c>
      <c r="CT6" s="1779"/>
      <c r="CU6" s="1782" t="s">
        <v>2124</v>
      </c>
      <c r="CV6" s="1783"/>
      <c r="CW6" s="404" t="s">
        <v>1192</v>
      </c>
      <c r="CX6" s="1782" t="s">
        <v>1194</v>
      </c>
      <c r="CY6" s="1783"/>
      <c r="CZ6" s="1780" t="s">
        <v>1184</v>
      </c>
      <c r="DA6" s="1779" t="s">
        <v>1193</v>
      </c>
      <c r="DB6" s="1779"/>
      <c r="DC6" s="1779" t="s">
        <v>1236</v>
      </c>
      <c r="DD6" s="1779"/>
      <c r="DE6" s="1782" t="s">
        <v>2124</v>
      </c>
      <c r="DF6" s="1783"/>
      <c r="DG6" s="404" t="s">
        <v>1192</v>
      </c>
      <c r="DH6" s="1782" t="s">
        <v>1194</v>
      </c>
      <c r="DI6" s="1783"/>
      <c r="DJ6" s="1780" t="s">
        <v>1184</v>
      </c>
      <c r="DK6" s="1779" t="s">
        <v>1193</v>
      </c>
      <c r="DL6" s="1779"/>
      <c r="DM6" s="1779" t="s">
        <v>1236</v>
      </c>
      <c r="DN6" s="1779"/>
      <c r="DO6" s="1782" t="s">
        <v>2124</v>
      </c>
      <c r="DP6" s="1783"/>
      <c r="DQ6" s="404" t="s">
        <v>1192</v>
      </c>
      <c r="DR6" s="1782" t="s">
        <v>1194</v>
      </c>
      <c r="DS6" s="1783"/>
      <c r="DT6" s="1780" t="s">
        <v>1184</v>
      </c>
      <c r="DU6" s="1779" t="s">
        <v>1193</v>
      </c>
      <c r="DV6" s="1779"/>
      <c r="DW6" s="1779" t="s">
        <v>1236</v>
      </c>
      <c r="DX6" s="1779"/>
      <c r="DY6" s="1782" t="s">
        <v>2124</v>
      </c>
      <c r="DZ6" s="1783"/>
      <c r="EA6" s="404" t="s">
        <v>1192</v>
      </c>
      <c r="EB6" s="1782" t="s">
        <v>1194</v>
      </c>
      <c r="EC6" s="1783"/>
      <c r="ED6" s="1781" t="s">
        <v>1195</v>
      </c>
      <c r="EE6" s="1781" t="s">
        <v>1184</v>
      </c>
      <c r="EF6" s="1781" t="s">
        <v>1196</v>
      </c>
      <c r="EG6" s="1781"/>
      <c r="EH6" s="1793" t="s">
        <v>1237</v>
      </c>
      <c r="EI6" s="1794"/>
      <c r="EJ6" s="1782" t="s">
        <v>2125</v>
      </c>
      <c r="EK6" s="1783"/>
      <c r="EL6" s="405" t="s">
        <v>1192</v>
      </c>
      <c r="EM6" s="1782" t="s">
        <v>1194</v>
      </c>
      <c r="EN6" s="1783"/>
      <c r="EO6" s="404" t="s">
        <v>1273</v>
      </c>
      <c r="EP6" s="404" t="s">
        <v>1274</v>
      </c>
      <c r="EQ6" s="401"/>
      <c r="ER6" s="401"/>
      <c r="ES6" s="401"/>
      <c r="ET6" s="401"/>
      <c r="EU6" s="401"/>
      <c r="EV6" s="401"/>
      <c r="EW6" s="401"/>
      <c r="EX6" s="401"/>
      <c r="EY6" s="401"/>
      <c r="EZ6" s="401"/>
      <c r="FA6" s="401"/>
      <c r="FB6" s="401"/>
      <c r="FC6" s="401"/>
      <c r="FH6" s="1791"/>
      <c r="FI6" s="1791"/>
      <c r="FJ6" s="1791"/>
      <c r="FK6" s="1791"/>
      <c r="FL6" s="1791"/>
      <c r="FM6" s="1791"/>
      <c r="FN6" s="1791"/>
    </row>
    <row r="7" spans="1:170" s="403" customFormat="1" ht="57.75" customHeight="1">
      <c r="A7" s="1788"/>
      <c r="B7" s="1788"/>
      <c r="C7" s="1771"/>
      <c r="D7" s="1771"/>
      <c r="E7" s="1771"/>
      <c r="F7" s="1771"/>
      <c r="G7" s="1771"/>
      <c r="H7" s="1771"/>
      <c r="I7" s="1771"/>
      <c r="J7" s="1768"/>
      <c r="K7" s="1768"/>
      <c r="L7" s="1768"/>
      <c r="M7" s="1768"/>
      <c r="N7" s="1781"/>
      <c r="O7" s="404" t="s">
        <v>1173</v>
      </c>
      <c r="P7" s="404" t="s">
        <v>1197</v>
      </c>
      <c r="Q7" s="404" t="s">
        <v>1173</v>
      </c>
      <c r="R7" s="404" t="s">
        <v>1197</v>
      </c>
      <c r="S7" s="404" t="s">
        <v>1173</v>
      </c>
      <c r="T7" s="404" t="s">
        <v>1197</v>
      </c>
      <c r="U7" s="404" t="s">
        <v>1197</v>
      </c>
      <c r="V7" s="404" t="s">
        <v>1173</v>
      </c>
      <c r="W7" s="404" t="s">
        <v>1197</v>
      </c>
      <c r="X7" s="1781"/>
      <c r="Y7" s="404" t="s">
        <v>1173</v>
      </c>
      <c r="Z7" s="404" t="s">
        <v>1197</v>
      </c>
      <c r="AA7" s="404" t="s">
        <v>1173</v>
      </c>
      <c r="AB7" s="404" t="s">
        <v>1197</v>
      </c>
      <c r="AC7" s="404" t="s">
        <v>1173</v>
      </c>
      <c r="AD7" s="404" t="s">
        <v>1197</v>
      </c>
      <c r="AE7" s="404" t="s">
        <v>1197</v>
      </c>
      <c r="AF7" s="404" t="s">
        <v>1173</v>
      </c>
      <c r="AG7" s="404" t="s">
        <v>1197</v>
      </c>
      <c r="AH7" s="1781"/>
      <c r="AI7" s="404" t="s">
        <v>1173</v>
      </c>
      <c r="AJ7" s="404" t="s">
        <v>1197</v>
      </c>
      <c r="AK7" s="404" t="s">
        <v>1173</v>
      </c>
      <c r="AL7" s="404" t="s">
        <v>1197</v>
      </c>
      <c r="AM7" s="404" t="s">
        <v>1173</v>
      </c>
      <c r="AN7" s="404" t="s">
        <v>1197</v>
      </c>
      <c r="AO7" s="404" t="s">
        <v>1197</v>
      </c>
      <c r="AP7" s="404" t="s">
        <v>1173</v>
      </c>
      <c r="AQ7" s="404" t="s">
        <v>1197</v>
      </c>
      <c r="AR7" s="1781"/>
      <c r="AS7" s="404" t="s">
        <v>1173</v>
      </c>
      <c r="AT7" s="404" t="s">
        <v>1197</v>
      </c>
      <c r="AU7" s="404" t="s">
        <v>1173</v>
      </c>
      <c r="AV7" s="404" t="s">
        <v>1197</v>
      </c>
      <c r="AW7" s="404" t="s">
        <v>1173</v>
      </c>
      <c r="AX7" s="404" t="s">
        <v>1197</v>
      </c>
      <c r="AY7" s="404" t="s">
        <v>1197</v>
      </c>
      <c r="AZ7" s="404" t="s">
        <v>1173</v>
      </c>
      <c r="BA7" s="404" t="s">
        <v>1197</v>
      </c>
      <c r="BB7" s="1781"/>
      <c r="BC7" s="404" t="s">
        <v>1173</v>
      </c>
      <c r="BD7" s="404" t="s">
        <v>1197</v>
      </c>
      <c r="BE7" s="404" t="s">
        <v>1173</v>
      </c>
      <c r="BF7" s="404" t="s">
        <v>1197</v>
      </c>
      <c r="BG7" s="404" t="s">
        <v>1173</v>
      </c>
      <c r="BH7" s="404" t="s">
        <v>1197</v>
      </c>
      <c r="BI7" s="404" t="s">
        <v>1197</v>
      </c>
      <c r="BJ7" s="404" t="s">
        <v>1173</v>
      </c>
      <c r="BK7" s="404" t="s">
        <v>1197</v>
      </c>
      <c r="BL7" s="1781"/>
      <c r="BM7" s="404" t="s">
        <v>1173</v>
      </c>
      <c r="BN7" s="404" t="s">
        <v>1197</v>
      </c>
      <c r="BO7" s="404" t="s">
        <v>1173</v>
      </c>
      <c r="BP7" s="404" t="s">
        <v>1197</v>
      </c>
      <c r="BQ7" s="404" t="s">
        <v>1173</v>
      </c>
      <c r="BR7" s="404" t="s">
        <v>1197</v>
      </c>
      <c r="BS7" s="404" t="s">
        <v>1197</v>
      </c>
      <c r="BT7" s="404" t="s">
        <v>1173</v>
      </c>
      <c r="BU7" s="404" t="s">
        <v>1197</v>
      </c>
      <c r="BV7" s="1781"/>
      <c r="BW7" s="404" t="s">
        <v>1173</v>
      </c>
      <c r="BX7" s="404" t="s">
        <v>1197</v>
      </c>
      <c r="BY7" s="404" t="s">
        <v>1173</v>
      </c>
      <c r="BZ7" s="404" t="s">
        <v>1197</v>
      </c>
      <c r="CA7" s="404" t="s">
        <v>1173</v>
      </c>
      <c r="CB7" s="404" t="s">
        <v>1197</v>
      </c>
      <c r="CC7" s="404" t="s">
        <v>1197</v>
      </c>
      <c r="CD7" s="404" t="s">
        <v>1173</v>
      </c>
      <c r="CE7" s="404" t="s">
        <v>1197</v>
      </c>
      <c r="CF7" s="1781"/>
      <c r="CG7" s="404" t="s">
        <v>1173</v>
      </c>
      <c r="CH7" s="404" t="s">
        <v>1197</v>
      </c>
      <c r="CI7" s="404" t="s">
        <v>1173</v>
      </c>
      <c r="CJ7" s="404" t="s">
        <v>1197</v>
      </c>
      <c r="CK7" s="404" t="s">
        <v>1173</v>
      </c>
      <c r="CL7" s="404" t="s">
        <v>1197</v>
      </c>
      <c r="CM7" s="404" t="s">
        <v>1197</v>
      </c>
      <c r="CN7" s="404" t="s">
        <v>1173</v>
      </c>
      <c r="CO7" s="404" t="s">
        <v>1197</v>
      </c>
      <c r="CP7" s="1781"/>
      <c r="CQ7" s="404" t="s">
        <v>1173</v>
      </c>
      <c r="CR7" s="404" t="s">
        <v>1197</v>
      </c>
      <c r="CS7" s="404" t="s">
        <v>1173</v>
      </c>
      <c r="CT7" s="404" t="s">
        <v>1197</v>
      </c>
      <c r="CU7" s="404" t="s">
        <v>1173</v>
      </c>
      <c r="CV7" s="404" t="s">
        <v>1197</v>
      </c>
      <c r="CW7" s="404" t="s">
        <v>1197</v>
      </c>
      <c r="CX7" s="404" t="s">
        <v>1173</v>
      </c>
      <c r="CY7" s="404" t="s">
        <v>1197</v>
      </c>
      <c r="CZ7" s="1781"/>
      <c r="DA7" s="404" t="s">
        <v>1173</v>
      </c>
      <c r="DB7" s="404" t="s">
        <v>1197</v>
      </c>
      <c r="DC7" s="404" t="s">
        <v>1173</v>
      </c>
      <c r="DD7" s="404" t="s">
        <v>1197</v>
      </c>
      <c r="DE7" s="404" t="s">
        <v>1173</v>
      </c>
      <c r="DF7" s="404" t="s">
        <v>1197</v>
      </c>
      <c r="DG7" s="404" t="s">
        <v>1197</v>
      </c>
      <c r="DH7" s="404" t="s">
        <v>1173</v>
      </c>
      <c r="DI7" s="404" t="s">
        <v>1197</v>
      </c>
      <c r="DJ7" s="1781"/>
      <c r="DK7" s="404" t="s">
        <v>1173</v>
      </c>
      <c r="DL7" s="404" t="s">
        <v>1197</v>
      </c>
      <c r="DM7" s="404" t="s">
        <v>1173</v>
      </c>
      <c r="DN7" s="404" t="s">
        <v>1197</v>
      </c>
      <c r="DO7" s="404" t="s">
        <v>1173</v>
      </c>
      <c r="DP7" s="404" t="s">
        <v>1197</v>
      </c>
      <c r="DQ7" s="404" t="s">
        <v>1197</v>
      </c>
      <c r="DR7" s="404" t="s">
        <v>1173</v>
      </c>
      <c r="DS7" s="404" t="s">
        <v>1197</v>
      </c>
      <c r="DT7" s="1781"/>
      <c r="DU7" s="404" t="s">
        <v>1173</v>
      </c>
      <c r="DV7" s="404" t="s">
        <v>1197</v>
      </c>
      <c r="DW7" s="404" t="s">
        <v>1173</v>
      </c>
      <c r="DX7" s="404" t="s">
        <v>1197</v>
      </c>
      <c r="DY7" s="404" t="s">
        <v>1173</v>
      </c>
      <c r="DZ7" s="404" t="s">
        <v>1197</v>
      </c>
      <c r="EA7" s="404" t="s">
        <v>1197</v>
      </c>
      <c r="EB7" s="404" t="s">
        <v>1173</v>
      </c>
      <c r="EC7" s="404" t="s">
        <v>1197</v>
      </c>
      <c r="ED7" s="1779"/>
      <c r="EE7" s="1779"/>
      <c r="EF7" s="404" t="s">
        <v>1173</v>
      </c>
      <c r="EG7" s="404" t="s">
        <v>1197</v>
      </c>
      <c r="EH7" s="404" t="s">
        <v>1173</v>
      </c>
      <c r="EI7" s="404" t="s">
        <v>1197</v>
      </c>
      <c r="EJ7" s="404" t="s">
        <v>1173</v>
      </c>
      <c r="EK7" s="404" t="s">
        <v>1197</v>
      </c>
      <c r="EL7" s="404" t="s">
        <v>1197</v>
      </c>
      <c r="EM7" s="404" t="s">
        <v>1173</v>
      </c>
      <c r="EN7" s="404" t="s">
        <v>1197</v>
      </c>
      <c r="EO7" s="404" t="s">
        <v>1173</v>
      </c>
      <c r="EP7" s="404" t="s">
        <v>1173</v>
      </c>
      <c r="ER7" s="433"/>
      <c r="ES7" s="433"/>
      <c r="ET7" s="433"/>
      <c r="EU7" s="433"/>
      <c r="EV7" s="433"/>
      <c r="EW7" s="433"/>
      <c r="EX7" s="433"/>
      <c r="EY7" s="433"/>
      <c r="EZ7" s="433"/>
      <c r="FA7" s="433"/>
      <c r="FB7" s="433"/>
      <c r="FC7" s="433"/>
      <c r="FH7" s="1791"/>
      <c r="FI7" s="1791"/>
      <c r="FJ7" s="1791"/>
      <c r="FK7" s="1791"/>
      <c r="FL7" s="1791"/>
      <c r="FM7" s="1791"/>
      <c r="FN7" s="1791"/>
    </row>
    <row r="8" spans="1:170" ht="15" customHeight="1">
      <c r="A8" s="410" t="s">
        <v>32</v>
      </c>
      <c r="B8" s="406" t="s">
        <v>1229</v>
      </c>
      <c r="C8" s="407"/>
      <c r="D8" s="407"/>
      <c r="E8" s="407"/>
      <c r="F8" s="407"/>
      <c r="G8" s="407"/>
      <c r="H8" s="407"/>
      <c r="I8" s="407"/>
      <c r="J8" s="407"/>
      <c r="K8" s="407"/>
      <c r="L8" s="407"/>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8"/>
      <c r="BJ8" s="408"/>
      <c r="BK8" s="408"/>
      <c r="BL8" s="408"/>
      <c r="BM8" s="408"/>
      <c r="BN8" s="408"/>
      <c r="BO8" s="408"/>
      <c r="BP8" s="408"/>
      <c r="BQ8" s="408"/>
      <c r="BR8" s="408"/>
      <c r="BS8" s="408"/>
      <c r="BT8" s="408"/>
      <c r="BU8" s="408"/>
      <c r="BV8" s="408"/>
      <c r="BW8" s="408"/>
      <c r="BX8" s="408"/>
      <c r="BY8" s="408"/>
      <c r="BZ8" s="408"/>
      <c r="CA8" s="408"/>
      <c r="CB8" s="408"/>
      <c r="CC8" s="408"/>
      <c r="CD8" s="408"/>
      <c r="CE8" s="408"/>
      <c r="CF8" s="408"/>
      <c r="CG8" s="408"/>
      <c r="CH8" s="408"/>
      <c r="CI8" s="408"/>
      <c r="CJ8" s="408"/>
      <c r="CK8" s="408"/>
      <c r="CL8" s="408"/>
      <c r="CM8" s="408"/>
      <c r="CN8" s="408"/>
      <c r="CO8" s="408"/>
      <c r="CP8" s="408"/>
      <c r="CQ8" s="408"/>
      <c r="CR8" s="408"/>
      <c r="CS8" s="408"/>
      <c r="CT8" s="408"/>
      <c r="CU8" s="408"/>
      <c r="CV8" s="408"/>
      <c r="CW8" s="408"/>
      <c r="CX8" s="408"/>
      <c r="CY8" s="408"/>
      <c r="CZ8" s="408"/>
      <c r="DA8" s="408"/>
      <c r="DB8" s="408"/>
      <c r="DC8" s="408"/>
      <c r="DD8" s="408"/>
      <c r="DE8" s="408"/>
      <c r="DF8" s="408"/>
      <c r="DG8" s="408"/>
      <c r="DH8" s="408"/>
      <c r="DI8" s="408"/>
      <c r="DJ8" s="408"/>
      <c r="DK8" s="408"/>
      <c r="DL8" s="408"/>
      <c r="DM8" s="408"/>
      <c r="DN8" s="408"/>
      <c r="DO8" s="408"/>
      <c r="DP8" s="408"/>
      <c r="DQ8" s="408"/>
      <c r="DR8" s="408"/>
      <c r="DS8" s="408"/>
      <c r="DT8" s="408"/>
      <c r="DU8" s="408"/>
      <c r="DV8" s="408"/>
      <c r="DW8" s="408"/>
      <c r="DX8" s="408"/>
      <c r="DY8" s="408"/>
      <c r="DZ8" s="408"/>
      <c r="EA8" s="408"/>
      <c r="EB8" s="408"/>
      <c r="EC8" s="408"/>
      <c r="ED8" s="408"/>
      <c r="EE8" s="408"/>
      <c r="EF8" s="408"/>
      <c r="EG8" s="408"/>
      <c r="EH8" s="408"/>
      <c r="EI8" s="408"/>
      <c r="EJ8" s="408"/>
      <c r="EK8" s="408"/>
      <c r="EL8" s="408"/>
      <c r="EM8" s="451"/>
      <c r="EN8" s="408"/>
      <c r="EO8" s="408"/>
      <c r="EP8" s="408"/>
      <c r="FG8" s="409"/>
      <c r="FH8" s="409"/>
      <c r="FI8" s="409"/>
      <c r="FJ8" s="409"/>
      <c r="FK8" s="409"/>
      <c r="FL8" s="409"/>
      <c r="FM8" s="409"/>
    </row>
    <row r="9" spans="1:170" ht="28.5">
      <c r="A9" s="410">
        <v>1</v>
      </c>
      <c r="B9" s="57" t="s">
        <v>1288</v>
      </c>
      <c r="C9" s="407"/>
      <c r="D9" s="407"/>
      <c r="E9" s="407"/>
      <c r="F9" s="407"/>
      <c r="G9" s="407"/>
      <c r="H9" s="407"/>
      <c r="I9" s="407"/>
      <c r="J9" s="407"/>
      <c r="K9" s="407"/>
      <c r="L9" s="407"/>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c r="AL9" s="408"/>
      <c r="AM9" s="408"/>
      <c r="AN9" s="408"/>
      <c r="AO9" s="408"/>
      <c r="AP9" s="408"/>
      <c r="AQ9" s="408"/>
      <c r="AR9" s="408"/>
      <c r="AS9" s="408"/>
      <c r="AT9" s="408"/>
      <c r="AU9" s="408"/>
      <c r="AV9" s="408"/>
      <c r="AW9" s="408"/>
      <c r="AX9" s="408"/>
      <c r="AY9" s="408"/>
      <c r="AZ9" s="408"/>
      <c r="BA9" s="408"/>
      <c r="BB9" s="408"/>
      <c r="BC9" s="408"/>
      <c r="BD9" s="408"/>
      <c r="BE9" s="408"/>
      <c r="BF9" s="408"/>
      <c r="BG9" s="408"/>
      <c r="BH9" s="408"/>
      <c r="BI9" s="408"/>
      <c r="BJ9" s="408"/>
      <c r="BK9" s="408"/>
      <c r="BL9" s="408"/>
      <c r="BM9" s="408"/>
      <c r="BN9" s="408"/>
      <c r="BO9" s="408"/>
      <c r="BP9" s="408"/>
      <c r="BQ9" s="408"/>
      <c r="BR9" s="408"/>
      <c r="BS9" s="408"/>
      <c r="BT9" s="408"/>
      <c r="BU9" s="408"/>
      <c r="BV9" s="408"/>
      <c r="BW9" s="408"/>
      <c r="BX9" s="408"/>
      <c r="BY9" s="408"/>
      <c r="BZ9" s="408"/>
      <c r="CA9" s="408"/>
      <c r="CB9" s="408"/>
      <c r="CC9" s="408"/>
      <c r="CD9" s="408"/>
      <c r="CE9" s="408"/>
      <c r="CF9" s="408"/>
      <c r="CG9" s="408"/>
      <c r="CH9" s="408"/>
      <c r="CI9" s="408"/>
      <c r="CJ9" s="408"/>
      <c r="CK9" s="408"/>
      <c r="CL9" s="408"/>
      <c r="CM9" s="408"/>
      <c r="CN9" s="408"/>
      <c r="CO9" s="408"/>
      <c r="CP9" s="408"/>
      <c r="CQ9" s="408"/>
      <c r="CR9" s="408"/>
      <c r="CS9" s="408"/>
      <c r="CT9" s="408"/>
      <c r="CU9" s="408"/>
      <c r="CV9" s="408"/>
      <c r="CW9" s="408"/>
      <c r="CX9" s="408"/>
      <c r="CY9" s="408"/>
      <c r="CZ9" s="408"/>
      <c r="DA9" s="408"/>
      <c r="DB9" s="408"/>
      <c r="DC9" s="408"/>
      <c r="DD9" s="408"/>
      <c r="DE9" s="408"/>
      <c r="DF9" s="408"/>
      <c r="DG9" s="408"/>
      <c r="DH9" s="408"/>
      <c r="DI9" s="408"/>
      <c r="DJ9" s="408"/>
      <c r="DK9" s="408"/>
      <c r="DL9" s="408"/>
      <c r="DM9" s="408"/>
      <c r="DN9" s="408"/>
      <c r="DO9" s="408"/>
      <c r="DP9" s="408"/>
      <c r="DQ9" s="408"/>
      <c r="DR9" s="408"/>
      <c r="DS9" s="408"/>
      <c r="DT9" s="408"/>
      <c r="DU9" s="408"/>
      <c r="DV9" s="408"/>
      <c r="DW9" s="408"/>
      <c r="DX9" s="408"/>
      <c r="DY9" s="408"/>
      <c r="DZ9" s="408"/>
      <c r="EA9" s="408"/>
      <c r="EB9" s="408"/>
      <c r="EC9" s="408"/>
      <c r="ED9" s="408"/>
      <c r="EE9" s="408"/>
      <c r="EF9" s="408"/>
      <c r="EG9" s="408"/>
      <c r="EH9" s="408"/>
      <c r="EI9" s="408"/>
      <c r="EJ9" s="408"/>
      <c r="EK9" s="408"/>
      <c r="EL9" s="408"/>
      <c r="EM9" s="451"/>
      <c r="EN9" s="408"/>
      <c r="EO9" s="408"/>
      <c r="EP9" s="408"/>
      <c r="FG9" s="409"/>
      <c r="FH9" s="409"/>
      <c r="FI9" s="409"/>
      <c r="FJ9" s="409"/>
      <c r="FK9" s="409"/>
      <c r="FL9" s="409"/>
      <c r="FM9" s="409"/>
    </row>
    <row r="10" spans="1:170" ht="15" hidden="1" customHeight="1">
      <c r="A10" s="410"/>
      <c r="B10" s="406"/>
      <c r="C10" s="407"/>
      <c r="D10" s="407"/>
      <c r="E10" s="407"/>
      <c r="F10" s="407"/>
      <c r="G10" s="407"/>
      <c r="H10" s="407"/>
      <c r="I10" s="407"/>
      <c r="J10" s="407"/>
      <c r="K10" s="407"/>
      <c r="L10" s="407"/>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c r="AL10" s="408"/>
      <c r="AM10" s="408"/>
      <c r="AN10" s="408"/>
      <c r="AO10" s="408"/>
      <c r="AP10" s="408"/>
      <c r="AQ10" s="408"/>
      <c r="AR10" s="408"/>
      <c r="AS10" s="408"/>
      <c r="AT10" s="408"/>
      <c r="AU10" s="408"/>
      <c r="AV10" s="408"/>
      <c r="AW10" s="408"/>
      <c r="AX10" s="408"/>
      <c r="AY10" s="408"/>
      <c r="AZ10" s="408"/>
      <c r="BA10" s="408"/>
      <c r="BB10" s="408"/>
      <c r="BC10" s="408"/>
      <c r="BD10" s="408"/>
      <c r="BE10" s="408"/>
      <c r="BF10" s="408"/>
      <c r="BG10" s="408"/>
      <c r="BH10" s="408"/>
      <c r="BI10" s="408"/>
      <c r="BJ10" s="408"/>
      <c r="BK10" s="408"/>
      <c r="BL10" s="408"/>
      <c r="BM10" s="408"/>
      <c r="BN10" s="408"/>
      <c r="BO10" s="408"/>
      <c r="BP10" s="408"/>
      <c r="BQ10" s="408"/>
      <c r="BR10" s="408"/>
      <c r="BS10" s="408"/>
      <c r="BT10" s="408"/>
      <c r="BU10" s="408"/>
      <c r="BV10" s="408"/>
      <c r="BW10" s="408"/>
      <c r="BX10" s="408"/>
      <c r="BY10" s="408"/>
      <c r="BZ10" s="408"/>
      <c r="CA10" s="408"/>
      <c r="CB10" s="408"/>
      <c r="CC10" s="408"/>
      <c r="CD10" s="408"/>
      <c r="CE10" s="408"/>
      <c r="CF10" s="408"/>
      <c r="CG10" s="408"/>
      <c r="CH10" s="408"/>
      <c r="CI10" s="408"/>
      <c r="CJ10" s="408"/>
      <c r="CK10" s="408"/>
      <c r="CL10" s="408"/>
      <c r="CM10" s="408"/>
      <c r="CN10" s="408"/>
      <c r="CO10" s="408"/>
      <c r="CP10" s="408"/>
      <c r="CQ10" s="408"/>
      <c r="CR10" s="408"/>
      <c r="CS10" s="408"/>
      <c r="CT10" s="408"/>
      <c r="CU10" s="408"/>
      <c r="CV10" s="408"/>
      <c r="CW10" s="408"/>
      <c r="CX10" s="408"/>
      <c r="CY10" s="408"/>
      <c r="CZ10" s="408"/>
      <c r="DA10" s="408"/>
      <c r="DB10" s="408"/>
      <c r="DC10" s="408"/>
      <c r="DD10" s="408"/>
      <c r="DE10" s="408"/>
      <c r="DF10" s="408"/>
      <c r="DG10" s="408"/>
      <c r="DH10" s="408"/>
      <c r="DI10" s="408"/>
      <c r="DJ10" s="408"/>
      <c r="DK10" s="408"/>
      <c r="DL10" s="408"/>
      <c r="DM10" s="408"/>
      <c r="DN10" s="408"/>
      <c r="DO10" s="408"/>
      <c r="DP10" s="408"/>
      <c r="DQ10" s="408"/>
      <c r="DR10" s="408"/>
      <c r="DS10" s="408"/>
      <c r="DT10" s="408"/>
      <c r="DU10" s="408"/>
      <c r="DV10" s="408"/>
      <c r="DW10" s="408"/>
      <c r="DX10" s="408"/>
      <c r="DY10" s="408"/>
      <c r="DZ10" s="408"/>
      <c r="EA10" s="408"/>
      <c r="EB10" s="408"/>
      <c r="EC10" s="408"/>
      <c r="ED10" s="408"/>
      <c r="EE10" s="408"/>
      <c r="EF10" s="408"/>
      <c r="EG10" s="408"/>
      <c r="EH10" s="408"/>
      <c r="EI10" s="408"/>
      <c r="EJ10" s="408"/>
      <c r="EK10" s="408"/>
      <c r="EL10" s="408"/>
      <c r="EM10" s="451"/>
      <c r="EN10" s="408"/>
      <c r="EO10" s="408"/>
      <c r="EP10" s="408"/>
      <c r="FG10" s="409"/>
      <c r="FH10" s="409"/>
      <c r="FI10" s="409"/>
      <c r="FJ10" s="409"/>
      <c r="FK10" s="409"/>
      <c r="FL10" s="409"/>
      <c r="FM10" s="409"/>
    </row>
    <row r="11" spans="1:170" ht="15" customHeight="1">
      <c r="A11" s="410">
        <v>2</v>
      </c>
      <c r="B11" s="181" t="s">
        <v>1289</v>
      </c>
      <c r="C11" s="407"/>
      <c r="D11" s="407"/>
      <c r="E11" s="407"/>
      <c r="F11" s="407"/>
      <c r="G11" s="407"/>
      <c r="H11" s="407"/>
      <c r="I11" s="407"/>
      <c r="J11" s="407"/>
      <c r="K11" s="407"/>
      <c r="L11" s="407"/>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c r="AL11" s="408"/>
      <c r="AM11" s="408"/>
      <c r="AN11" s="408"/>
      <c r="AO11" s="408"/>
      <c r="AP11" s="408"/>
      <c r="AQ11" s="408"/>
      <c r="AR11" s="408"/>
      <c r="AS11" s="408"/>
      <c r="AT11" s="408"/>
      <c r="AU11" s="408"/>
      <c r="AV11" s="408"/>
      <c r="AW11" s="408"/>
      <c r="AX11" s="408"/>
      <c r="AY11" s="408"/>
      <c r="AZ11" s="408"/>
      <c r="BA11" s="408"/>
      <c r="BB11" s="408"/>
      <c r="BC11" s="408"/>
      <c r="BD11" s="408"/>
      <c r="BE11" s="408"/>
      <c r="BF11" s="408"/>
      <c r="BG11" s="408"/>
      <c r="BH11" s="408"/>
      <c r="BI11" s="408"/>
      <c r="BJ11" s="408"/>
      <c r="BK11" s="408"/>
      <c r="BL11" s="408"/>
      <c r="BM11" s="408"/>
      <c r="BN11" s="408"/>
      <c r="BO11" s="408"/>
      <c r="BP11" s="408"/>
      <c r="BQ11" s="408"/>
      <c r="BR11" s="408"/>
      <c r="BS11" s="408"/>
      <c r="BT11" s="408"/>
      <c r="BU11" s="408"/>
      <c r="BV11" s="408"/>
      <c r="BW11" s="408"/>
      <c r="BX11" s="408"/>
      <c r="BY11" s="408"/>
      <c r="BZ11" s="408"/>
      <c r="CA11" s="408"/>
      <c r="CB11" s="408"/>
      <c r="CC11" s="408"/>
      <c r="CD11" s="408"/>
      <c r="CE11" s="408"/>
      <c r="CF11" s="408"/>
      <c r="CG11" s="408"/>
      <c r="CH11" s="408"/>
      <c r="CI11" s="408"/>
      <c r="CJ11" s="408"/>
      <c r="CK11" s="408"/>
      <c r="CL11" s="408"/>
      <c r="CM11" s="408"/>
      <c r="CN11" s="408"/>
      <c r="CO11" s="408"/>
      <c r="CP11" s="408"/>
      <c r="CQ11" s="408"/>
      <c r="CR11" s="408"/>
      <c r="CS11" s="408"/>
      <c r="CT11" s="408"/>
      <c r="CU11" s="408"/>
      <c r="CV11" s="408"/>
      <c r="CW11" s="408"/>
      <c r="CX11" s="408"/>
      <c r="CY11" s="408"/>
      <c r="CZ11" s="408"/>
      <c r="DA11" s="408"/>
      <c r="DB11" s="408"/>
      <c r="DC11" s="408"/>
      <c r="DD11" s="408"/>
      <c r="DE11" s="408"/>
      <c r="DF11" s="408"/>
      <c r="DG11" s="408"/>
      <c r="DH11" s="408"/>
      <c r="DI11" s="408"/>
      <c r="DJ11" s="408"/>
      <c r="DK11" s="408"/>
      <c r="DL11" s="408"/>
      <c r="DM11" s="408"/>
      <c r="DN11" s="408"/>
      <c r="DO11" s="408"/>
      <c r="DP11" s="408"/>
      <c r="DQ11" s="408"/>
      <c r="DR11" s="408"/>
      <c r="DS11" s="408"/>
      <c r="DT11" s="408"/>
      <c r="DU11" s="408"/>
      <c r="DV11" s="408"/>
      <c r="DW11" s="408"/>
      <c r="DX11" s="408"/>
      <c r="DY11" s="408"/>
      <c r="DZ11" s="408"/>
      <c r="EA11" s="408"/>
      <c r="EB11" s="408"/>
      <c r="EC11" s="408"/>
      <c r="ED11" s="408"/>
      <c r="EE11" s="408"/>
      <c r="EF11" s="408"/>
      <c r="EG11" s="408"/>
      <c r="EH11" s="408"/>
      <c r="EI11" s="408"/>
      <c r="EJ11" s="408"/>
      <c r="EK11" s="408"/>
      <c r="EL11" s="408"/>
      <c r="EM11" s="451"/>
      <c r="EN11" s="408"/>
      <c r="EO11" s="408"/>
      <c r="EP11" s="408"/>
      <c r="FG11" s="409"/>
      <c r="FH11" s="409"/>
      <c r="FI11" s="409"/>
      <c r="FJ11" s="409"/>
      <c r="FK11" s="409"/>
      <c r="FL11" s="409"/>
      <c r="FM11" s="409"/>
    </row>
    <row r="12" spans="1:170" ht="15" hidden="1" customHeight="1">
      <c r="A12" s="410" t="s">
        <v>82</v>
      </c>
      <c r="B12" s="459" t="s">
        <v>1290</v>
      </c>
      <c r="C12" s="407"/>
      <c r="D12" s="407"/>
      <c r="E12" s="407"/>
      <c r="F12" s="407"/>
      <c r="G12" s="407"/>
      <c r="H12" s="407"/>
      <c r="I12" s="407"/>
      <c r="J12" s="407"/>
      <c r="K12" s="407"/>
      <c r="L12" s="407"/>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c r="AL12" s="408"/>
      <c r="AM12" s="408"/>
      <c r="AN12" s="408"/>
      <c r="AO12" s="408"/>
      <c r="AP12" s="408"/>
      <c r="AQ12" s="408"/>
      <c r="AR12" s="408"/>
      <c r="AS12" s="408"/>
      <c r="AT12" s="408"/>
      <c r="AU12" s="408"/>
      <c r="AV12" s="408"/>
      <c r="AW12" s="408"/>
      <c r="AX12" s="408"/>
      <c r="AY12" s="408"/>
      <c r="AZ12" s="408"/>
      <c r="BA12" s="408"/>
      <c r="BB12" s="408"/>
      <c r="BC12" s="408"/>
      <c r="BD12" s="408"/>
      <c r="BE12" s="408"/>
      <c r="BF12" s="408"/>
      <c r="BG12" s="408"/>
      <c r="BH12" s="408"/>
      <c r="BI12" s="408"/>
      <c r="BJ12" s="408"/>
      <c r="BK12" s="408"/>
      <c r="BL12" s="408"/>
      <c r="BM12" s="408"/>
      <c r="BN12" s="408"/>
      <c r="BO12" s="408"/>
      <c r="BP12" s="408"/>
      <c r="BQ12" s="408"/>
      <c r="BR12" s="408"/>
      <c r="BS12" s="408"/>
      <c r="BT12" s="408"/>
      <c r="BU12" s="408"/>
      <c r="BV12" s="408"/>
      <c r="BW12" s="408"/>
      <c r="BX12" s="408"/>
      <c r="BY12" s="408"/>
      <c r="BZ12" s="408"/>
      <c r="CA12" s="408"/>
      <c r="CB12" s="408"/>
      <c r="CC12" s="408"/>
      <c r="CD12" s="408"/>
      <c r="CE12" s="408"/>
      <c r="CF12" s="408"/>
      <c r="CG12" s="408"/>
      <c r="CH12" s="408"/>
      <c r="CI12" s="408"/>
      <c r="CJ12" s="408"/>
      <c r="CK12" s="408"/>
      <c r="CL12" s="408"/>
      <c r="CM12" s="408"/>
      <c r="CN12" s="408"/>
      <c r="CO12" s="408"/>
      <c r="CP12" s="408"/>
      <c r="CQ12" s="408"/>
      <c r="CR12" s="408"/>
      <c r="CS12" s="408"/>
      <c r="CT12" s="408"/>
      <c r="CU12" s="408"/>
      <c r="CV12" s="408"/>
      <c r="CW12" s="408"/>
      <c r="CX12" s="408"/>
      <c r="CY12" s="408"/>
      <c r="CZ12" s="408"/>
      <c r="DA12" s="408"/>
      <c r="DB12" s="408"/>
      <c r="DC12" s="408"/>
      <c r="DD12" s="408"/>
      <c r="DE12" s="408"/>
      <c r="DF12" s="408"/>
      <c r="DG12" s="408"/>
      <c r="DH12" s="408"/>
      <c r="DI12" s="408"/>
      <c r="DJ12" s="408"/>
      <c r="DK12" s="408"/>
      <c r="DL12" s="408"/>
      <c r="DM12" s="408"/>
      <c r="DN12" s="408"/>
      <c r="DO12" s="408"/>
      <c r="DP12" s="408"/>
      <c r="DQ12" s="408"/>
      <c r="DR12" s="408"/>
      <c r="DS12" s="408"/>
      <c r="DT12" s="408"/>
      <c r="DU12" s="408"/>
      <c r="DV12" s="408"/>
      <c r="DW12" s="408"/>
      <c r="DX12" s="408"/>
      <c r="DY12" s="408"/>
      <c r="DZ12" s="408"/>
      <c r="EA12" s="408"/>
      <c r="EB12" s="408"/>
      <c r="EC12" s="408"/>
      <c r="ED12" s="408"/>
      <c r="EE12" s="408"/>
      <c r="EF12" s="408"/>
      <c r="EG12" s="408"/>
      <c r="EH12" s="408"/>
      <c r="EI12" s="408"/>
      <c r="EJ12" s="408"/>
      <c r="EK12" s="408"/>
      <c r="EL12" s="408"/>
      <c r="EM12" s="451"/>
      <c r="EN12" s="408"/>
      <c r="EO12" s="408"/>
      <c r="EP12" s="408"/>
      <c r="FG12" s="409"/>
      <c r="FH12" s="409"/>
      <c r="FI12" s="409"/>
      <c r="FJ12" s="409"/>
      <c r="FK12" s="409"/>
      <c r="FL12" s="409"/>
      <c r="FM12" s="409"/>
    </row>
    <row r="13" spans="1:170" ht="15" hidden="1" customHeight="1">
      <c r="A13" s="410" t="s">
        <v>83</v>
      </c>
      <c r="B13" s="459" t="s">
        <v>1291</v>
      </c>
      <c r="C13" s="407"/>
      <c r="D13" s="407"/>
      <c r="E13" s="407"/>
      <c r="F13" s="407"/>
      <c r="G13" s="407"/>
      <c r="H13" s="407"/>
      <c r="I13" s="407"/>
      <c r="J13" s="407"/>
      <c r="K13" s="407"/>
      <c r="L13" s="407"/>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c r="AL13" s="408"/>
      <c r="AM13" s="408"/>
      <c r="AN13" s="408"/>
      <c r="AO13" s="408"/>
      <c r="AP13" s="408"/>
      <c r="AQ13" s="408"/>
      <c r="AR13" s="408"/>
      <c r="AS13" s="408"/>
      <c r="AT13" s="408"/>
      <c r="AU13" s="408"/>
      <c r="AV13" s="408"/>
      <c r="AW13" s="408"/>
      <c r="AX13" s="408"/>
      <c r="AY13" s="408"/>
      <c r="AZ13" s="408"/>
      <c r="BA13" s="408"/>
      <c r="BB13" s="408"/>
      <c r="BC13" s="408"/>
      <c r="BD13" s="408"/>
      <c r="BE13" s="408"/>
      <c r="BF13" s="408"/>
      <c r="BG13" s="408"/>
      <c r="BH13" s="408"/>
      <c r="BI13" s="408"/>
      <c r="BJ13" s="408"/>
      <c r="BK13" s="408"/>
      <c r="BL13" s="408"/>
      <c r="BM13" s="408"/>
      <c r="BN13" s="408"/>
      <c r="BO13" s="408"/>
      <c r="BP13" s="408"/>
      <c r="BQ13" s="408"/>
      <c r="BR13" s="408"/>
      <c r="BS13" s="408"/>
      <c r="BT13" s="408"/>
      <c r="BU13" s="408"/>
      <c r="BV13" s="408"/>
      <c r="BW13" s="408"/>
      <c r="BX13" s="408"/>
      <c r="BY13" s="408"/>
      <c r="BZ13" s="408"/>
      <c r="CA13" s="408"/>
      <c r="CB13" s="408"/>
      <c r="CC13" s="408"/>
      <c r="CD13" s="408"/>
      <c r="CE13" s="408"/>
      <c r="CF13" s="408"/>
      <c r="CG13" s="408"/>
      <c r="CH13" s="408"/>
      <c r="CI13" s="408"/>
      <c r="CJ13" s="408"/>
      <c r="CK13" s="408"/>
      <c r="CL13" s="408"/>
      <c r="CM13" s="408"/>
      <c r="CN13" s="408"/>
      <c r="CO13" s="408"/>
      <c r="CP13" s="408"/>
      <c r="CQ13" s="408"/>
      <c r="CR13" s="408"/>
      <c r="CS13" s="408"/>
      <c r="CT13" s="408"/>
      <c r="CU13" s="408"/>
      <c r="CV13" s="408"/>
      <c r="CW13" s="408"/>
      <c r="CX13" s="408"/>
      <c r="CY13" s="408"/>
      <c r="CZ13" s="408"/>
      <c r="DA13" s="408"/>
      <c r="DB13" s="408"/>
      <c r="DC13" s="408"/>
      <c r="DD13" s="408"/>
      <c r="DE13" s="408"/>
      <c r="DF13" s="408"/>
      <c r="DG13" s="408"/>
      <c r="DH13" s="408"/>
      <c r="DI13" s="408"/>
      <c r="DJ13" s="408"/>
      <c r="DK13" s="408"/>
      <c r="DL13" s="408"/>
      <c r="DM13" s="408"/>
      <c r="DN13" s="408"/>
      <c r="DO13" s="408"/>
      <c r="DP13" s="408"/>
      <c r="DQ13" s="408"/>
      <c r="DR13" s="408"/>
      <c r="DS13" s="408"/>
      <c r="DT13" s="408"/>
      <c r="DU13" s="408"/>
      <c r="DV13" s="408"/>
      <c r="DW13" s="408"/>
      <c r="DX13" s="408"/>
      <c r="DY13" s="408"/>
      <c r="DZ13" s="408"/>
      <c r="EA13" s="408"/>
      <c r="EB13" s="408"/>
      <c r="EC13" s="408"/>
      <c r="ED13" s="408"/>
      <c r="EE13" s="408"/>
      <c r="EF13" s="408"/>
      <c r="EG13" s="408"/>
      <c r="EH13" s="408"/>
      <c r="EI13" s="408"/>
      <c r="EJ13" s="408"/>
      <c r="EK13" s="408"/>
      <c r="EL13" s="408"/>
      <c r="EM13" s="451"/>
      <c r="EN13" s="408"/>
      <c r="EO13" s="408"/>
      <c r="EP13" s="408"/>
      <c r="FG13" s="409"/>
      <c r="FH13" s="409"/>
      <c r="FI13" s="409"/>
      <c r="FJ13" s="409"/>
      <c r="FK13" s="409"/>
      <c r="FL13" s="409"/>
      <c r="FM13" s="409"/>
    </row>
    <row r="14" spans="1:170" ht="15" hidden="1" customHeight="1">
      <c r="A14" s="410" t="s">
        <v>86</v>
      </c>
      <c r="B14" s="459" t="s">
        <v>1292</v>
      </c>
      <c r="C14" s="407"/>
      <c r="D14" s="407"/>
      <c r="E14" s="407"/>
      <c r="F14" s="407"/>
      <c r="G14" s="407"/>
      <c r="H14" s="407"/>
      <c r="I14" s="407"/>
      <c r="J14" s="407"/>
      <c r="K14" s="407"/>
      <c r="L14" s="407"/>
      <c r="M14" s="408"/>
      <c r="N14" s="408"/>
      <c r="O14" s="408"/>
      <c r="P14" s="408"/>
      <c r="Q14" s="408"/>
      <c r="R14" s="408"/>
      <c r="S14" s="408"/>
      <c r="T14" s="408"/>
      <c r="U14" s="408"/>
      <c r="V14" s="408"/>
      <c r="W14" s="408"/>
      <c r="X14" s="408"/>
      <c r="Y14" s="408"/>
      <c r="Z14" s="408"/>
      <c r="AA14" s="408"/>
      <c r="AB14" s="408"/>
      <c r="AC14" s="408"/>
      <c r="AD14" s="408"/>
      <c r="AE14" s="408"/>
      <c r="AF14" s="408"/>
      <c r="AG14" s="408"/>
      <c r="AH14" s="408"/>
      <c r="AI14" s="408"/>
      <c r="AJ14" s="408"/>
      <c r="AK14" s="408"/>
      <c r="AL14" s="408"/>
      <c r="AM14" s="408"/>
      <c r="AN14" s="408"/>
      <c r="AO14" s="408"/>
      <c r="AP14" s="408"/>
      <c r="AQ14" s="408"/>
      <c r="AR14" s="408"/>
      <c r="AS14" s="408"/>
      <c r="AT14" s="408"/>
      <c r="AU14" s="408"/>
      <c r="AV14" s="408"/>
      <c r="AW14" s="408"/>
      <c r="AX14" s="408"/>
      <c r="AY14" s="408"/>
      <c r="AZ14" s="408"/>
      <c r="BA14" s="408"/>
      <c r="BB14" s="408"/>
      <c r="BC14" s="408"/>
      <c r="BD14" s="408"/>
      <c r="BE14" s="408"/>
      <c r="BF14" s="408"/>
      <c r="BG14" s="408"/>
      <c r="BH14" s="408"/>
      <c r="BI14" s="408"/>
      <c r="BJ14" s="408"/>
      <c r="BK14" s="408"/>
      <c r="BL14" s="408"/>
      <c r="BM14" s="408"/>
      <c r="BN14" s="408"/>
      <c r="BO14" s="408"/>
      <c r="BP14" s="408"/>
      <c r="BQ14" s="408"/>
      <c r="BR14" s="408"/>
      <c r="BS14" s="408"/>
      <c r="BT14" s="408"/>
      <c r="BU14" s="408"/>
      <c r="BV14" s="408"/>
      <c r="BW14" s="408"/>
      <c r="BX14" s="408"/>
      <c r="BY14" s="408"/>
      <c r="BZ14" s="408"/>
      <c r="CA14" s="408"/>
      <c r="CB14" s="408"/>
      <c r="CC14" s="408"/>
      <c r="CD14" s="408"/>
      <c r="CE14" s="408"/>
      <c r="CF14" s="408"/>
      <c r="CG14" s="408"/>
      <c r="CH14" s="408"/>
      <c r="CI14" s="408"/>
      <c r="CJ14" s="408"/>
      <c r="CK14" s="408"/>
      <c r="CL14" s="408"/>
      <c r="CM14" s="408"/>
      <c r="CN14" s="408"/>
      <c r="CO14" s="408"/>
      <c r="CP14" s="408"/>
      <c r="CQ14" s="408"/>
      <c r="CR14" s="408"/>
      <c r="CS14" s="408"/>
      <c r="CT14" s="408"/>
      <c r="CU14" s="408"/>
      <c r="CV14" s="408"/>
      <c r="CW14" s="408"/>
      <c r="CX14" s="408"/>
      <c r="CY14" s="408"/>
      <c r="CZ14" s="408"/>
      <c r="DA14" s="408"/>
      <c r="DB14" s="408"/>
      <c r="DC14" s="408"/>
      <c r="DD14" s="408"/>
      <c r="DE14" s="408"/>
      <c r="DF14" s="408"/>
      <c r="DG14" s="408"/>
      <c r="DH14" s="408"/>
      <c r="DI14" s="408"/>
      <c r="DJ14" s="408"/>
      <c r="DK14" s="408"/>
      <c r="DL14" s="408"/>
      <c r="DM14" s="408"/>
      <c r="DN14" s="408"/>
      <c r="DO14" s="408"/>
      <c r="DP14" s="408"/>
      <c r="DQ14" s="408"/>
      <c r="DR14" s="408"/>
      <c r="DS14" s="408"/>
      <c r="DT14" s="408"/>
      <c r="DU14" s="408"/>
      <c r="DV14" s="408"/>
      <c r="DW14" s="408"/>
      <c r="DX14" s="408"/>
      <c r="DY14" s="408"/>
      <c r="DZ14" s="408"/>
      <c r="EA14" s="408"/>
      <c r="EB14" s="408"/>
      <c r="EC14" s="408"/>
      <c r="ED14" s="408"/>
      <c r="EE14" s="408"/>
      <c r="EF14" s="408"/>
      <c r="EG14" s="408"/>
      <c r="EH14" s="408"/>
      <c r="EI14" s="408"/>
      <c r="EJ14" s="408"/>
      <c r="EK14" s="408"/>
      <c r="EL14" s="408"/>
      <c r="EM14" s="451"/>
      <c r="EN14" s="408"/>
      <c r="EO14" s="408"/>
      <c r="EP14" s="408"/>
      <c r="FG14" s="409"/>
      <c r="FH14" s="409"/>
      <c r="FI14" s="409"/>
      <c r="FJ14" s="409"/>
      <c r="FK14" s="409"/>
      <c r="FL14" s="409"/>
      <c r="FM14" s="409"/>
    </row>
    <row r="15" spans="1:170" ht="15" hidden="1" customHeight="1">
      <c r="A15" s="410" t="s">
        <v>217</v>
      </c>
      <c r="B15" s="459" t="s">
        <v>1293</v>
      </c>
      <c r="C15" s="407"/>
      <c r="D15" s="407"/>
      <c r="E15" s="407"/>
      <c r="F15" s="407"/>
      <c r="G15" s="407"/>
      <c r="H15" s="407"/>
      <c r="I15" s="407"/>
      <c r="J15" s="407"/>
      <c r="K15" s="407"/>
      <c r="L15" s="407"/>
      <c r="M15" s="408"/>
      <c r="N15" s="408"/>
      <c r="O15" s="408"/>
      <c r="P15" s="408"/>
      <c r="Q15" s="408"/>
      <c r="R15" s="408"/>
      <c r="S15" s="408"/>
      <c r="T15" s="408"/>
      <c r="U15" s="408"/>
      <c r="V15" s="408"/>
      <c r="W15" s="408"/>
      <c r="X15" s="408"/>
      <c r="Y15" s="408"/>
      <c r="Z15" s="408"/>
      <c r="AA15" s="408"/>
      <c r="AB15" s="408"/>
      <c r="AC15" s="408"/>
      <c r="AD15" s="408"/>
      <c r="AE15" s="408"/>
      <c r="AF15" s="408"/>
      <c r="AG15" s="408"/>
      <c r="AH15" s="408"/>
      <c r="AI15" s="408"/>
      <c r="AJ15" s="408"/>
      <c r="AK15" s="408"/>
      <c r="AL15" s="408"/>
      <c r="AM15" s="408"/>
      <c r="AN15" s="408"/>
      <c r="AO15" s="408"/>
      <c r="AP15" s="408"/>
      <c r="AQ15" s="408"/>
      <c r="AR15" s="408"/>
      <c r="AS15" s="408"/>
      <c r="AT15" s="408"/>
      <c r="AU15" s="408"/>
      <c r="AV15" s="408"/>
      <c r="AW15" s="408"/>
      <c r="AX15" s="408"/>
      <c r="AY15" s="408"/>
      <c r="AZ15" s="408"/>
      <c r="BA15" s="408"/>
      <c r="BB15" s="408"/>
      <c r="BC15" s="408"/>
      <c r="BD15" s="408"/>
      <c r="BE15" s="408"/>
      <c r="BF15" s="408"/>
      <c r="BG15" s="408"/>
      <c r="BH15" s="408"/>
      <c r="BI15" s="408"/>
      <c r="BJ15" s="408"/>
      <c r="BK15" s="408"/>
      <c r="BL15" s="408"/>
      <c r="BM15" s="408"/>
      <c r="BN15" s="408"/>
      <c r="BO15" s="408"/>
      <c r="BP15" s="408"/>
      <c r="BQ15" s="408"/>
      <c r="BR15" s="408"/>
      <c r="BS15" s="408"/>
      <c r="BT15" s="408"/>
      <c r="BU15" s="408"/>
      <c r="BV15" s="408"/>
      <c r="BW15" s="408"/>
      <c r="BX15" s="408"/>
      <c r="BY15" s="408"/>
      <c r="BZ15" s="408"/>
      <c r="CA15" s="408"/>
      <c r="CB15" s="408"/>
      <c r="CC15" s="408"/>
      <c r="CD15" s="408"/>
      <c r="CE15" s="408"/>
      <c r="CF15" s="408"/>
      <c r="CG15" s="408"/>
      <c r="CH15" s="408"/>
      <c r="CI15" s="408"/>
      <c r="CJ15" s="408"/>
      <c r="CK15" s="408"/>
      <c r="CL15" s="408"/>
      <c r="CM15" s="408"/>
      <c r="CN15" s="408"/>
      <c r="CO15" s="408"/>
      <c r="CP15" s="408"/>
      <c r="CQ15" s="408"/>
      <c r="CR15" s="408"/>
      <c r="CS15" s="408"/>
      <c r="CT15" s="408"/>
      <c r="CU15" s="408"/>
      <c r="CV15" s="408"/>
      <c r="CW15" s="408"/>
      <c r="CX15" s="408"/>
      <c r="CY15" s="408"/>
      <c r="CZ15" s="408"/>
      <c r="DA15" s="408"/>
      <c r="DB15" s="408"/>
      <c r="DC15" s="408"/>
      <c r="DD15" s="408"/>
      <c r="DE15" s="408"/>
      <c r="DF15" s="408"/>
      <c r="DG15" s="408"/>
      <c r="DH15" s="408"/>
      <c r="DI15" s="408"/>
      <c r="DJ15" s="408"/>
      <c r="DK15" s="408"/>
      <c r="DL15" s="408"/>
      <c r="DM15" s="408"/>
      <c r="DN15" s="408"/>
      <c r="DO15" s="408"/>
      <c r="DP15" s="408"/>
      <c r="DQ15" s="408"/>
      <c r="DR15" s="408"/>
      <c r="DS15" s="408"/>
      <c r="DT15" s="408"/>
      <c r="DU15" s="408"/>
      <c r="DV15" s="408"/>
      <c r="DW15" s="408"/>
      <c r="DX15" s="408"/>
      <c r="DY15" s="408"/>
      <c r="DZ15" s="408"/>
      <c r="EA15" s="408"/>
      <c r="EB15" s="408"/>
      <c r="EC15" s="408"/>
      <c r="ED15" s="408"/>
      <c r="EE15" s="408"/>
      <c r="EF15" s="408"/>
      <c r="EG15" s="408"/>
      <c r="EH15" s="408"/>
      <c r="EI15" s="408"/>
      <c r="EJ15" s="408"/>
      <c r="EK15" s="408"/>
      <c r="EL15" s="408"/>
      <c r="EM15" s="451"/>
      <c r="EN15" s="408"/>
      <c r="EO15" s="408"/>
      <c r="EP15" s="408"/>
      <c r="FG15" s="409"/>
      <c r="FH15" s="409"/>
      <c r="FI15" s="409"/>
      <c r="FJ15" s="409"/>
      <c r="FK15" s="409"/>
      <c r="FL15" s="409"/>
      <c r="FM15" s="409"/>
    </row>
    <row r="16" spans="1:170" ht="15" hidden="1" customHeight="1">
      <c r="A16" s="410" t="s">
        <v>218</v>
      </c>
      <c r="B16" s="459" t="s">
        <v>1294</v>
      </c>
      <c r="C16" s="407"/>
      <c r="D16" s="407"/>
      <c r="E16" s="407"/>
      <c r="F16" s="407"/>
      <c r="G16" s="407"/>
      <c r="H16" s="407"/>
      <c r="I16" s="407"/>
      <c r="J16" s="407"/>
      <c r="K16" s="407"/>
      <c r="L16" s="407"/>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8"/>
      <c r="AY16" s="408"/>
      <c r="AZ16" s="408"/>
      <c r="BA16" s="408"/>
      <c r="BB16" s="408"/>
      <c r="BC16" s="408"/>
      <c r="BD16" s="408"/>
      <c r="BE16" s="408"/>
      <c r="BF16" s="408"/>
      <c r="BG16" s="408"/>
      <c r="BH16" s="408"/>
      <c r="BI16" s="408"/>
      <c r="BJ16" s="408"/>
      <c r="BK16" s="408"/>
      <c r="BL16" s="408"/>
      <c r="BM16" s="408"/>
      <c r="BN16" s="408"/>
      <c r="BO16" s="408"/>
      <c r="BP16" s="408"/>
      <c r="BQ16" s="408"/>
      <c r="BR16" s="408"/>
      <c r="BS16" s="408"/>
      <c r="BT16" s="408"/>
      <c r="BU16" s="408"/>
      <c r="BV16" s="408"/>
      <c r="BW16" s="408"/>
      <c r="BX16" s="408"/>
      <c r="BY16" s="408"/>
      <c r="BZ16" s="408"/>
      <c r="CA16" s="408"/>
      <c r="CB16" s="408"/>
      <c r="CC16" s="408"/>
      <c r="CD16" s="408"/>
      <c r="CE16" s="408"/>
      <c r="CF16" s="408"/>
      <c r="CG16" s="408"/>
      <c r="CH16" s="408"/>
      <c r="CI16" s="408"/>
      <c r="CJ16" s="408"/>
      <c r="CK16" s="408"/>
      <c r="CL16" s="408"/>
      <c r="CM16" s="408"/>
      <c r="CN16" s="408"/>
      <c r="CO16" s="408"/>
      <c r="CP16" s="408"/>
      <c r="CQ16" s="408"/>
      <c r="CR16" s="408"/>
      <c r="CS16" s="408"/>
      <c r="CT16" s="408"/>
      <c r="CU16" s="408"/>
      <c r="CV16" s="408"/>
      <c r="CW16" s="408"/>
      <c r="CX16" s="408"/>
      <c r="CY16" s="408"/>
      <c r="CZ16" s="408"/>
      <c r="DA16" s="408"/>
      <c r="DB16" s="408"/>
      <c r="DC16" s="408"/>
      <c r="DD16" s="408"/>
      <c r="DE16" s="408"/>
      <c r="DF16" s="408"/>
      <c r="DG16" s="408"/>
      <c r="DH16" s="408"/>
      <c r="DI16" s="408"/>
      <c r="DJ16" s="408"/>
      <c r="DK16" s="408"/>
      <c r="DL16" s="408"/>
      <c r="DM16" s="408"/>
      <c r="DN16" s="408"/>
      <c r="DO16" s="408"/>
      <c r="DP16" s="408"/>
      <c r="DQ16" s="408"/>
      <c r="DR16" s="408"/>
      <c r="DS16" s="408"/>
      <c r="DT16" s="408"/>
      <c r="DU16" s="408"/>
      <c r="DV16" s="408"/>
      <c r="DW16" s="408"/>
      <c r="DX16" s="408"/>
      <c r="DY16" s="408"/>
      <c r="DZ16" s="408"/>
      <c r="EA16" s="408"/>
      <c r="EB16" s="408"/>
      <c r="EC16" s="408"/>
      <c r="ED16" s="408"/>
      <c r="EE16" s="408"/>
      <c r="EF16" s="408"/>
      <c r="EG16" s="408"/>
      <c r="EH16" s="408"/>
      <c r="EI16" s="408"/>
      <c r="EJ16" s="408"/>
      <c r="EK16" s="408"/>
      <c r="EL16" s="408"/>
      <c r="EM16" s="451"/>
      <c r="EN16" s="408"/>
      <c r="EO16" s="408"/>
      <c r="EP16" s="408"/>
      <c r="FG16" s="409"/>
      <c r="FH16" s="409"/>
      <c r="FI16" s="409"/>
      <c r="FJ16" s="409"/>
      <c r="FK16" s="409"/>
      <c r="FL16" s="409"/>
      <c r="FM16" s="409"/>
    </row>
    <row r="17" spans="1:169" ht="15" hidden="1" customHeight="1">
      <c r="A17" s="410" t="s">
        <v>1297</v>
      </c>
      <c r="B17" s="459" t="s">
        <v>1295</v>
      </c>
      <c r="C17" s="407"/>
      <c r="D17" s="407"/>
      <c r="E17" s="407"/>
      <c r="F17" s="407"/>
      <c r="G17" s="407"/>
      <c r="H17" s="407"/>
      <c r="I17" s="407"/>
      <c r="J17" s="407"/>
      <c r="K17" s="407"/>
      <c r="L17" s="407"/>
      <c r="M17" s="408"/>
      <c r="N17" s="408"/>
      <c r="O17" s="408"/>
      <c r="P17" s="408"/>
      <c r="Q17" s="408"/>
      <c r="R17" s="408"/>
      <c r="S17" s="408"/>
      <c r="T17" s="408"/>
      <c r="U17" s="408"/>
      <c r="V17" s="408"/>
      <c r="W17" s="408"/>
      <c r="X17" s="408"/>
      <c r="Y17" s="408"/>
      <c r="Z17" s="408"/>
      <c r="AA17" s="408"/>
      <c r="AB17" s="408"/>
      <c r="AC17" s="408"/>
      <c r="AD17" s="408"/>
      <c r="AE17" s="408"/>
      <c r="AF17" s="408"/>
      <c r="AG17" s="408"/>
      <c r="AH17" s="408"/>
      <c r="AI17" s="408"/>
      <c r="AJ17" s="408"/>
      <c r="AK17" s="408"/>
      <c r="AL17" s="408"/>
      <c r="AM17" s="408"/>
      <c r="AN17" s="408"/>
      <c r="AO17" s="408"/>
      <c r="AP17" s="408"/>
      <c r="AQ17" s="408"/>
      <c r="AR17" s="408"/>
      <c r="AS17" s="408"/>
      <c r="AT17" s="408"/>
      <c r="AU17" s="408"/>
      <c r="AV17" s="408"/>
      <c r="AW17" s="408"/>
      <c r="AX17" s="408"/>
      <c r="AY17" s="408"/>
      <c r="AZ17" s="408"/>
      <c r="BA17" s="408"/>
      <c r="BB17" s="408"/>
      <c r="BC17" s="408"/>
      <c r="BD17" s="408"/>
      <c r="BE17" s="408"/>
      <c r="BF17" s="408"/>
      <c r="BG17" s="408"/>
      <c r="BH17" s="408"/>
      <c r="BI17" s="408"/>
      <c r="BJ17" s="408"/>
      <c r="BK17" s="408"/>
      <c r="BL17" s="408"/>
      <c r="BM17" s="408"/>
      <c r="BN17" s="408"/>
      <c r="BO17" s="408"/>
      <c r="BP17" s="408"/>
      <c r="BQ17" s="408"/>
      <c r="BR17" s="408"/>
      <c r="BS17" s="408"/>
      <c r="BT17" s="408"/>
      <c r="BU17" s="408"/>
      <c r="BV17" s="408"/>
      <c r="BW17" s="408"/>
      <c r="BX17" s="408"/>
      <c r="BY17" s="408"/>
      <c r="BZ17" s="408"/>
      <c r="CA17" s="408"/>
      <c r="CB17" s="408"/>
      <c r="CC17" s="408"/>
      <c r="CD17" s="408"/>
      <c r="CE17" s="408"/>
      <c r="CF17" s="408"/>
      <c r="CG17" s="408"/>
      <c r="CH17" s="408"/>
      <c r="CI17" s="408"/>
      <c r="CJ17" s="408"/>
      <c r="CK17" s="408"/>
      <c r="CL17" s="408"/>
      <c r="CM17" s="408"/>
      <c r="CN17" s="408"/>
      <c r="CO17" s="408"/>
      <c r="CP17" s="408"/>
      <c r="CQ17" s="408"/>
      <c r="CR17" s="408"/>
      <c r="CS17" s="408"/>
      <c r="CT17" s="408"/>
      <c r="CU17" s="408"/>
      <c r="CV17" s="408"/>
      <c r="CW17" s="408"/>
      <c r="CX17" s="408"/>
      <c r="CY17" s="408"/>
      <c r="CZ17" s="408"/>
      <c r="DA17" s="408"/>
      <c r="DB17" s="408"/>
      <c r="DC17" s="408"/>
      <c r="DD17" s="408"/>
      <c r="DE17" s="408"/>
      <c r="DF17" s="408"/>
      <c r="DG17" s="408"/>
      <c r="DH17" s="408"/>
      <c r="DI17" s="408"/>
      <c r="DJ17" s="408"/>
      <c r="DK17" s="408"/>
      <c r="DL17" s="408"/>
      <c r="DM17" s="408"/>
      <c r="DN17" s="408"/>
      <c r="DO17" s="408"/>
      <c r="DP17" s="408"/>
      <c r="DQ17" s="408"/>
      <c r="DR17" s="408"/>
      <c r="DS17" s="408"/>
      <c r="DT17" s="408"/>
      <c r="DU17" s="408"/>
      <c r="DV17" s="408"/>
      <c r="DW17" s="408"/>
      <c r="DX17" s="408"/>
      <c r="DY17" s="408"/>
      <c r="DZ17" s="408"/>
      <c r="EA17" s="408"/>
      <c r="EB17" s="408"/>
      <c r="EC17" s="408"/>
      <c r="ED17" s="408"/>
      <c r="EE17" s="408"/>
      <c r="EF17" s="408"/>
      <c r="EG17" s="408"/>
      <c r="EH17" s="408"/>
      <c r="EI17" s="408"/>
      <c r="EJ17" s="408"/>
      <c r="EK17" s="408"/>
      <c r="EL17" s="408"/>
      <c r="EM17" s="451"/>
      <c r="EN17" s="408"/>
      <c r="EO17" s="408"/>
      <c r="EP17" s="408"/>
      <c r="FG17" s="409"/>
      <c r="FH17" s="409"/>
      <c r="FI17" s="409"/>
      <c r="FJ17" s="409"/>
      <c r="FK17" s="409"/>
      <c r="FL17" s="409"/>
      <c r="FM17" s="409"/>
    </row>
    <row r="18" spans="1:169" ht="15" hidden="1" customHeight="1">
      <c r="A18" s="410" t="s">
        <v>1298</v>
      </c>
      <c r="B18" s="459" t="s">
        <v>1296</v>
      </c>
      <c r="C18" s="407"/>
      <c r="D18" s="407"/>
      <c r="E18" s="407"/>
      <c r="F18" s="407"/>
      <c r="G18" s="407"/>
      <c r="H18" s="407"/>
      <c r="I18" s="407"/>
      <c r="J18" s="407"/>
      <c r="K18" s="407"/>
      <c r="L18" s="407"/>
      <c r="M18" s="408"/>
      <c r="N18" s="408"/>
      <c r="O18" s="408"/>
      <c r="P18" s="408"/>
      <c r="Q18" s="408"/>
      <c r="R18" s="408"/>
      <c r="S18" s="408"/>
      <c r="T18" s="408"/>
      <c r="U18" s="408"/>
      <c r="V18" s="408"/>
      <c r="W18" s="408"/>
      <c r="X18" s="408"/>
      <c r="Y18" s="408"/>
      <c r="Z18" s="408"/>
      <c r="AA18" s="408"/>
      <c r="AB18" s="408"/>
      <c r="AC18" s="408"/>
      <c r="AD18" s="408"/>
      <c r="AE18" s="408"/>
      <c r="AF18" s="408"/>
      <c r="AG18" s="408"/>
      <c r="AH18" s="408"/>
      <c r="AI18" s="408"/>
      <c r="AJ18" s="408"/>
      <c r="AK18" s="408"/>
      <c r="AL18" s="408"/>
      <c r="AM18" s="408"/>
      <c r="AN18" s="408"/>
      <c r="AO18" s="408"/>
      <c r="AP18" s="408"/>
      <c r="AQ18" s="408"/>
      <c r="AR18" s="408"/>
      <c r="AS18" s="408"/>
      <c r="AT18" s="408"/>
      <c r="AU18" s="408"/>
      <c r="AV18" s="408"/>
      <c r="AW18" s="408"/>
      <c r="AX18" s="408"/>
      <c r="AY18" s="408"/>
      <c r="AZ18" s="408"/>
      <c r="BA18" s="408"/>
      <c r="BB18" s="408"/>
      <c r="BC18" s="408"/>
      <c r="BD18" s="408"/>
      <c r="BE18" s="408"/>
      <c r="BF18" s="408"/>
      <c r="BG18" s="408"/>
      <c r="BH18" s="408"/>
      <c r="BI18" s="408"/>
      <c r="BJ18" s="408"/>
      <c r="BK18" s="408"/>
      <c r="BL18" s="408"/>
      <c r="BM18" s="408"/>
      <c r="BN18" s="408"/>
      <c r="BO18" s="408"/>
      <c r="BP18" s="408"/>
      <c r="BQ18" s="408"/>
      <c r="BR18" s="408"/>
      <c r="BS18" s="408"/>
      <c r="BT18" s="408"/>
      <c r="BU18" s="408"/>
      <c r="BV18" s="408"/>
      <c r="BW18" s="408"/>
      <c r="BX18" s="408"/>
      <c r="BY18" s="408"/>
      <c r="BZ18" s="408"/>
      <c r="CA18" s="408"/>
      <c r="CB18" s="408"/>
      <c r="CC18" s="408"/>
      <c r="CD18" s="408"/>
      <c r="CE18" s="408"/>
      <c r="CF18" s="408"/>
      <c r="CG18" s="408"/>
      <c r="CH18" s="408"/>
      <c r="CI18" s="408"/>
      <c r="CJ18" s="408"/>
      <c r="CK18" s="408"/>
      <c r="CL18" s="408"/>
      <c r="CM18" s="408"/>
      <c r="CN18" s="408"/>
      <c r="CO18" s="408"/>
      <c r="CP18" s="408"/>
      <c r="CQ18" s="408"/>
      <c r="CR18" s="408"/>
      <c r="CS18" s="408"/>
      <c r="CT18" s="408"/>
      <c r="CU18" s="408"/>
      <c r="CV18" s="408"/>
      <c r="CW18" s="408"/>
      <c r="CX18" s="408"/>
      <c r="CY18" s="408"/>
      <c r="CZ18" s="408"/>
      <c r="DA18" s="408"/>
      <c r="DB18" s="408"/>
      <c r="DC18" s="408"/>
      <c r="DD18" s="408"/>
      <c r="DE18" s="408"/>
      <c r="DF18" s="408"/>
      <c r="DG18" s="408"/>
      <c r="DH18" s="408"/>
      <c r="DI18" s="408"/>
      <c r="DJ18" s="408"/>
      <c r="DK18" s="408"/>
      <c r="DL18" s="408"/>
      <c r="DM18" s="408"/>
      <c r="DN18" s="408"/>
      <c r="DO18" s="408"/>
      <c r="DP18" s="408"/>
      <c r="DQ18" s="408"/>
      <c r="DR18" s="408"/>
      <c r="DS18" s="408"/>
      <c r="DT18" s="408"/>
      <c r="DU18" s="408"/>
      <c r="DV18" s="408"/>
      <c r="DW18" s="408"/>
      <c r="DX18" s="408"/>
      <c r="DY18" s="408"/>
      <c r="DZ18" s="408"/>
      <c r="EA18" s="408"/>
      <c r="EB18" s="408"/>
      <c r="EC18" s="408"/>
      <c r="ED18" s="408"/>
      <c r="EE18" s="408"/>
      <c r="EF18" s="408"/>
      <c r="EG18" s="408"/>
      <c r="EH18" s="408"/>
      <c r="EI18" s="408"/>
      <c r="EJ18" s="408"/>
      <c r="EK18" s="408"/>
      <c r="EL18" s="408"/>
      <c r="EM18" s="451"/>
      <c r="EN18" s="408"/>
      <c r="EO18" s="408"/>
      <c r="EP18" s="408"/>
      <c r="FG18" s="409"/>
      <c r="FH18" s="409"/>
      <c r="FI18" s="409"/>
      <c r="FJ18" s="409"/>
      <c r="FK18" s="409"/>
      <c r="FL18" s="409"/>
      <c r="FM18" s="409"/>
    </row>
    <row r="19" spans="1:169" ht="15" hidden="1" customHeight="1">
      <c r="A19" s="410" t="s">
        <v>1299</v>
      </c>
      <c r="B19" s="459"/>
      <c r="C19" s="407"/>
      <c r="D19" s="407"/>
      <c r="E19" s="407"/>
      <c r="F19" s="407"/>
      <c r="G19" s="407"/>
      <c r="H19" s="407"/>
      <c r="I19" s="407"/>
      <c r="J19" s="407"/>
      <c r="K19" s="407"/>
      <c r="L19" s="407"/>
      <c r="M19" s="408"/>
      <c r="N19" s="408"/>
      <c r="O19" s="408"/>
      <c r="P19" s="408"/>
      <c r="Q19" s="408"/>
      <c r="R19" s="408"/>
      <c r="S19" s="408"/>
      <c r="T19" s="408"/>
      <c r="U19" s="408"/>
      <c r="V19" s="408"/>
      <c r="W19" s="408"/>
      <c r="X19" s="408"/>
      <c r="Y19" s="408"/>
      <c r="Z19" s="408"/>
      <c r="AA19" s="408"/>
      <c r="AB19" s="408"/>
      <c r="AC19" s="408"/>
      <c r="AD19" s="408"/>
      <c r="AE19" s="408"/>
      <c r="AF19" s="408"/>
      <c r="AG19" s="408"/>
      <c r="AH19" s="408"/>
      <c r="AI19" s="408"/>
      <c r="AJ19" s="408"/>
      <c r="AK19" s="408"/>
      <c r="AL19" s="408"/>
      <c r="AM19" s="408"/>
      <c r="AN19" s="408"/>
      <c r="AO19" s="408"/>
      <c r="AP19" s="408"/>
      <c r="AQ19" s="408"/>
      <c r="AR19" s="408"/>
      <c r="AS19" s="408"/>
      <c r="AT19" s="408"/>
      <c r="AU19" s="408"/>
      <c r="AV19" s="408"/>
      <c r="AW19" s="408"/>
      <c r="AX19" s="408"/>
      <c r="AY19" s="408"/>
      <c r="AZ19" s="408"/>
      <c r="BA19" s="408"/>
      <c r="BB19" s="408"/>
      <c r="BC19" s="408"/>
      <c r="BD19" s="408"/>
      <c r="BE19" s="408"/>
      <c r="BF19" s="408"/>
      <c r="BG19" s="408"/>
      <c r="BH19" s="408"/>
      <c r="BI19" s="408"/>
      <c r="BJ19" s="408"/>
      <c r="BK19" s="408"/>
      <c r="BL19" s="408"/>
      <c r="BM19" s="408"/>
      <c r="BN19" s="408"/>
      <c r="BO19" s="408"/>
      <c r="BP19" s="408"/>
      <c r="BQ19" s="408"/>
      <c r="BR19" s="408"/>
      <c r="BS19" s="408"/>
      <c r="BT19" s="408"/>
      <c r="BU19" s="408"/>
      <c r="BV19" s="408"/>
      <c r="BW19" s="408"/>
      <c r="BX19" s="408"/>
      <c r="BY19" s="408"/>
      <c r="BZ19" s="408"/>
      <c r="CA19" s="408"/>
      <c r="CB19" s="408"/>
      <c r="CC19" s="408"/>
      <c r="CD19" s="408"/>
      <c r="CE19" s="408"/>
      <c r="CF19" s="408"/>
      <c r="CG19" s="408"/>
      <c r="CH19" s="408"/>
      <c r="CI19" s="408"/>
      <c r="CJ19" s="408"/>
      <c r="CK19" s="408"/>
      <c r="CL19" s="408"/>
      <c r="CM19" s="408"/>
      <c r="CN19" s="408"/>
      <c r="CO19" s="408"/>
      <c r="CP19" s="408"/>
      <c r="CQ19" s="408"/>
      <c r="CR19" s="408"/>
      <c r="CS19" s="408"/>
      <c r="CT19" s="408"/>
      <c r="CU19" s="408"/>
      <c r="CV19" s="408"/>
      <c r="CW19" s="408"/>
      <c r="CX19" s="408"/>
      <c r="CY19" s="408"/>
      <c r="CZ19" s="408"/>
      <c r="DA19" s="408"/>
      <c r="DB19" s="408"/>
      <c r="DC19" s="408"/>
      <c r="DD19" s="408"/>
      <c r="DE19" s="408"/>
      <c r="DF19" s="408"/>
      <c r="DG19" s="408"/>
      <c r="DH19" s="408"/>
      <c r="DI19" s="408"/>
      <c r="DJ19" s="408"/>
      <c r="DK19" s="408"/>
      <c r="DL19" s="408"/>
      <c r="DM19" s="408"/>
      <c r="DN19" s="408"/>
      <c r="DO19" s="408"/>
      <c r="DP19" s="408"/>
      <c r="DQ19" s="408"/>
      <c r="DR19" s="408"/>
      <c r="DS19" s="408"/>
      <c r="DT19" s="408"/>
      <c r="DU19" s="408"/>
      <c r="DV19" s="408"/>
      <c r="DW19" s="408"/>
      <c r="DX19" s="408"/>
      <c r="DY19" s="408"/>
      <c r="DZ19" s="408"/>
      <c r="EA19" s="408"/>
      <c r="EB19" s="408"/>
      <c r="EC19" s="408"/>
      <c r="ED19" s="408"/>
      <c r="EE19" s="408"/>
      <c r="EF19" s="408"/>
      <c r="EG19" s="408"/>
      <c r="EH19" s="408"/>
      <c r="EI19" s="408"/>
      <c r="EJ19" s="408"/>
      <c r="EK19" s="408"/>
      <c r="EL19" s="408"/>
      <c r="EM19" s="451"/>
      <c r="EN19" s="408"/>
      <c r="EO19" s="408"/>
      <c r="EP19" s="408"/>
      <c r="FG19" s="409"/>
      <c r="FH19" s="409"/>
      <c r="FI19" s="409"/>
      <c r="FJ19" s="409"/>
      <c r="FK19" s="409"/>
      <c r="FL19" s="409"/>
      <c r="FM19" s="409"/>
    </row>
    <row r="20" spans="1:169" ht="15" hidden="1" customHeight="1">
      <c r="A20" s="410"/>
      <c r="B20" s="459" t="s">
        <v>672</v>
      </c>
      <c r="C20" s="407"/>
      <c r="D20" s="407"/>
      <c r="E20" s="407"/>
      <c r="F20" s="407"/>
      <c r="G20" s="407"/>
      <c r="H20" s="407"/>
      <c r="I20" s="407"/>
      <c r="J20" s="407"/>
      <c r="K20" s="407"/>
      <c r="L20" s="407"/>
      <c r="M20" s="408"/>
      <c r="N20" s="408"/>
      <c r="O20" s="408"/>
      <c r="P20" s="408"/>
      <c r="Q20" s="408"/>
      <c r="R20" s="408"/>
      <c r="S20" s="408"/>
      <c r="T20" s="408"/>
      <c r="U20" s="408"/>
      <c r="V20" s="408"/>
      <c r="W20" s="408"/>
      <c r="X20" s="408"/>
      <c r="Y20" s="408"/>
      <c r="Z20" s="408"/>
      <c r="AA20" s="408"/>
      <c r="AB20" s="408"/>
      <c r="AC20" s="408"/>
      <c r="AD20" s="408"/>
      <c r="AE20" s="408"/>
      <c r="AF20" s="408"/>
      <c r="AG20" s="408"/>
      <c r="AH20" s="408"/>
      <c r="AI20" s="408"/>
      <c r="AJ20" s="408"/>
      <c r="AK20" s="408"/>
      <c r="AL20" s="408"/>
      <c r="AM20" s="408"/>
      <c r="AN20" s="408"/>
      <c r="AO20" s="408"/>
      <c r="AP20" s="408"/>
      <c r="AQ20" s="408"/>
      <c r="AR20" s="408"/>
      <c r="AS20" s="408"/>
      <c r="AT20" s="408"/>
      <c r="AU20" s="408"/>
      <c r="AV20" s="408"/>
      <c r="AW20" s="408"/>
      <c r="AX20" s="408"/>
      <c r="AY20" s="408"/>
      <c r="AZ20" s="408"/>
      <c r="BA20" s="408"/>
      <c r="BB20" s="408"/>
      <c r="BC20" s="408"/>
      <c r="BD20" s="408"/>
      <c r="BE20" s="408"/>
      <c r="BF20" s="408"/>
      <c r="BG20" s="408"/>
      <c r="BH20" s="408"/>
      <c r="BI20" s="408"/>
      <c r="BJ20" s="408"/>
      <c r="BK20" s="408"/>
      <c r="BL20" s="408"/>
      <c r="BM20" s="408"/>
      <c r="BN20" s="408"/>
      <c r="BO20" s="408"/>
      <c r="BP20" s="408"/>
      <c r="BQ20" s="408"/>
      <c r="BR20" s="408"/>
      <c r="BS20" s="408"/>
      <c r="BT20" s="408"/>
      <c r="BU20" s="408"/>
      <c r="BV20" s="408"/>
      <c r="BW20" s="408"/>
      <c r="BX20" s="408"/>
      <c r="BY20" s="408"/>
      <c r="BZ20" s="408"/>
      <c r="CA20" s="408"/>
      <c r="CB20" s="408"/>
      <c r="CC20" s="408"/>
      <c r="CD20" s="408"/>
      <c r="CE20" s="408"/>
      <c r="CF20" s="408"/>
      <c r="CG20" s="408"/>
      <c r="CH20" s="408"/>
      <c r="CI20" s="408"/>
      <c r="CJ20" s="408"/>
      <c r="CK20" s="408"/>
      <c r="CL20" s="408"/>
      <c r="CM20" s="408"/>
      <c r="CN20" s="408"/>
      <c r="CO20" s="408"/>
      <c r="CP20" s="408"/>
      <c r="CQ20" s="408"/>
      <c r="CR20" s="408"/>
      <c r="CS20" s="408"/>
      <c r="CT20" s="408"/>
      <c r="CU20" s="408"/>
      <c r="CV20" s="408"/>
      <c r="CW20" s="408"/>
      <c r="CX20" s="408"/>
      <c r="CY20" s="408"/>
      <c r="CZ20" s="408"/>
      <c r="DA20" s="408"/>
      <c r="DB20" s="408"/>
      <c r="DC20" s="408"/>
      <c r="DD20" s="408"/>
      <c r="DE20" s="408"/>
      <c r="DF20" s="408"/>
      <c r="DG20" s="408"/>
      <c r="DH20" s="408"/>
      <c r="DI20" s="408"/>
      <c r="DJ20" s="408"/>
      <c r="DK20" s="408"/>
      <c r="DL20" s="408"/>
      <c r="DM20" s="408"/>
      <c r="DN20" s="408"/>
      <c r="DO20" s="408"/>
      <c r="DP20" s="408"/>
      <c r="DQ20" s="408"/>
      <c r="DR20" s="408"/>
      <c r="DS20" s="408"/>
      <c r="DT20" s="408"/>
      <c r="DU20" s="408"/>
      <c r="DV20" s="408"/>
      <c r="DW20" s="408"/>
      <c r="DX20" s="408"/>
      <c r="DY20" s="408"/>
      <c r="DZ20" s="408"/>
      <c r="EA20" s="408"/>
      <c r="EB20" s="408"/>
      <c r="EC20" s="408"/>
      <c r="ED20" s="408"/>
      <c r="EE20" s="408"/>
      <c r="EF20" s="408"/>
      <c r="EG20" s="408"/>
      <c r="EH20" s="408"/>
      <c r="EI20" s="408"/>
      <c r="EJ20" s="408"/>
      <c r="EK20" s="408"/>
      <c r="EL20" s="408"/>
      <c r="EM20" s="451"/>
      <c r="EN20" s="408"/>
      <c r="EO20" s="408"/>
      <c r="EP20" s="408"/>
      <c r="FG20" s="409"/>
      <c r="FH20" s="409"/>
      <c r="FI20" s="409"/>
      <c r="FJ20" s="409"/>
      <c r="FK20" s="409"/>
      <c r="FL20" s="409"/>
      <c r="FM20" s="409"/>
    </row>
    <row r="21" spans="1:169" ht="15" hidden="1" customHeight="1">
      <c r="A21" s="410"/>
      <c r="B21" s="57" t="s">
        <v>153</v>
      </c>
      <c r="C21" s="407"/>
      <c r="D21" s="407"/>
      <c r="E21" s="407"/>
      <c r="F21" s="407"/>
      <c r="G21" s="407"/>
      <c r="H21" s="407"/>
      <c r="I21" s="407"/>
      <c r="J21" s="407"/>
      <c r="K21" s="407"/>
      <c r="L21" s="407"/>
      <c r="M21" s="408"/>
      <c r="N21" s="408"/>
      <c r="O21" s="408"/>
      <c r="P21" s="408"/>
      <c r="Q21" s="408"/>
      <c r="R21" s="408"/>
      <c r="S21" s="408"/>
      <c r="T21" s="408"/>
      <c r="U21" s="408"/>
      <c r="V21" s="408"/>
      <c r="W21" s="408"/>
      <c r="X21" s="408"/>
      <c r="Y21" s="408"/>
      <c r="Z21" s="408"/>
      <c r="AA21" s="408"/>
      <c r="AB21" s="408"/>
      <c r="AC21" s="408"/>
      <c r="AD21" s="408"/>
      <c r="AE21" s="408"/>
      <c r="AF21" s="408"/>
      <c r="AG21" s="408"/>
      <c r="AH21" s="408"/>
      <c r="AI21" s="408"/>
      <c r="AJ21" s="408"/>
      <c r="AK21" s="408"/>
      <c r="AL21" s="408"/>
      <c r="AM21" s="408"/>
      <c r="AN21" s="408"/>
      <c r="AO21" s="408"/>
      <c r="AP21" s="408"/>
      <c r="AQ21" s="408"/>
      <c r="AR21" s="408"/>
      <c r="AS21" s="408"/>
      <c r="AT21" s="408"/>
      <c r="AU21" s="408"/>
      <c r="AV21" s="408"/>
      <c r="AW21" s="408"/>
      <c r="AX21" s="408"/>
      <c r="AY21" s="408"/>
      <c r="AZ21" s="408"/>
      <c r="BA21" s="408"/>
      <c r="BB21" s="408"/>
      <c r="BC21" s="408"/>
      <c r="BD21" s="408"/>
      <c r="BE21" s="408"/>
      <c r="BF21" s="408"/>
      <c r="BG21" s="408"/>
      <c r="BH21" s="408"/>
      <c r="BI21" s="408"/>
      <c r="BJ21" s="408"/>
      <c r="BK21" s="408"/>
      <c r="BL21" s="408"/>
      <c r="BM21" s="408"/>
      <c r="BN21" s="408"/>
      <c r="BO21" s="408"/>
      <c r="BP21" s="408"/>
      <c r="BQ21" s="408"/>
      <c r="BR21" s="408"/>
      <c r="BS21" s="408"/>
      <c r="BT21" s="408"/>
      <c r="BU21" s="408"/>
      <c r="BV21" s="408"/>
      <c r="BW21" s="408"/>
      <c r="BX21" s="408"/>
      <c r="BY21" s="408"/>
      <c r="BZ21" s="408"/>
      <c r="CA21" s="408"/>
      <c r="CB21" s="408"/>
      <c r="CC21" s="408"/>
      <c r="CD21" s="408"/>
      <c r="CE21" s="408"/>
      <c r="CF21" s="408"/>
      <c r="CG21" s="408"/>
      <c r="CH21" s="408"/>
      <c r="CI21" s="408"/>
      <c r="CJ21" s="408"/>
      <c r="CK21" s="408"/>
      <c r="CL21" s="408"/>
      <c r="CM21" s="408"/>
      <c r="CN21" s="408"/>
      <c r="CO21" s="408"/>
      <c r="CP21" s="408"/>
      <c r="CQ21" s="408"/>
      <c r="CR21" s="408"/>
      <c r="CS21" s="408"/>
      <c r="CT21" s="408"/>
      <c r="CU21" s="408"/>
      <c r="CV21" s="408"/>
      <c r="CW21" s="408"/>
      <c r="CX21" s="408"/>
      <c r="CY21" s="408"/>
      <c r="CZ21" s="408"/>
      <c r="DA21" s="408"/>
      <c r="DB21" s="408"/>
      <c r="DC21" s="408"/>
      <c r="DD21" s="408"/>
      <c r="DE21" s="408"/>
      <c r="DF21" s="408"/>
      <c r="DG21" s="408"/>
      <c r="DH21" s="408"/>
      <c r="DI21" s="408"/>
      <c r="DJ21" s="408"/>
      <c r="DK21" s="408"/>
      <c r="DL21" s="408"/>
      <c r="DM21" s="408"/>
      <c r="DN21" s="408"/>
      <c r="DO21" s="408"/>
      <c r="DP21" s="408"/>
      <c r="DQ21" s="408"/>
      <c r="DR21" s="408"/>
      <c r="DS21" s="408"/>
      <c r="DT21" s="408"/>
      <c r="DU21" s="408"/>
      <c r="DV21" s="408"/>
      <c r="DW21" s="408"/>
      <c r="DX21" s="408"/>
      <c r="DY21" s="408"/>
      <c r="DZ21" s="408"/>
      <c r="EA21" s="408"/>
      <c r="EB21" s="408"/>
      <c r="EC21" s="408"/>
      <c r="ED21" s="408"/>
      <c r="EE21" s="408"/>
      <c r="EF21" s="408"/>
      <c r="EG21" s="408"/>
      <c r="EH21" s="408"/>
      <c r="EI21" s="408"/>
      <c r="EJ21" s="408"/>
      <c r="EK21" s="408"/>
      <c r="EL21" s="408"/>
      <c r="EM21" s="451"/>
      <c r="EN21" s="408"/>
      <c r="EO21" s="408"/>
      <c r="EP21" s="408"/>
      <c r="FG21" s="409"/>
      <c r="FH21" s="409"/>
      <c r="FI21" s="409"/>
      <c r="FJ21" s="409"/>
      <c r="FK21" s="409"/>
      <c r="FL21" s="409"/>
      <c r="FM21" s="409"/>
    </row>
    <row r="22" spans="1:169" ht="15" hidden="1" customHeight="1">
      <c r="A22" s="410"/>
      <c r="B22" s="406"/>
      <c r="C22" s="407"/>
      <c r="D22" s="407"/>
      <c r="E22" s="407"/>
      <c r="F22" s="407"/>
      <c r="G22" s="407"/>
      <c r="H22" s="407"/>
      <c r="I22" s="407"/>
      <c r="J22" s="407"/>
      <c r="K22" s="407"/>
      <c r="L22" s="407"/>
      <c r="M22" s="408"/>
      <c r="N22" s="408"/>
      <c r="O22" s="408"/>
      <c r="P22" s="408"/>
      <c r="Q22" s="408"/>
      <c r="R22" s="408"/>
      <c r="S22" s="408"/>
      <c r="T22" s="408"/>
      <c r="U22" s="408"/>
      <c r="V22" s="408"/>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8"/>
      <c r="BE22" s="408"/>
      <c r="BF22" s="408"/>
      <c r="BG22" s="408"/>
      <c r="BH22" s="408"/>
      <c r="BI22" s="408"/>
      <c r="BJ22" s="408"/>
      <c r="BK22" s="408"/>
      <c r="BL22" s="408"/>
      <c r="BM22" s="408"/>
      <c r="BN22" s="408"/>
      <c r="BO22" s="408"/>
      <c r="BP22" s="408"/>
      <c r="BQ22" s="408"/>
      <c r="BR22" s="408"/>
      <c r="BS22" s="408"/>
      <c r="BT22" s="408"/>
      <c r="BU22" s="408"/>
      <c r="BV22" s="408"/>
      <c r="BW22" s="408"/>
      <c r="BX22" s="408"/>
      <c r="BY22" s="408"/>
      <c r="BZ22" s="408"/>
      <c r="CA22" s="408"/>
      <c r="CB22" s="408"/>
      <c r="CC22" s="408"/>
      <c r="CD22" s="408"/>
      <c r="CE22" s="408"/>
      <c r="CF22" s="408"/>
      <c r="CG22" s="408"/>
      <c r="CH22" s="408"/>
      <c r="CI22" s="408"/>
      <c r="CJ22" s="408"/>
      <c r="CK22" s="408"/>
      <c r="CL22" s="408"/>
      <c r="CM22" s="408"/>
      <c r="CN22" s="408"/>
      <c r="CO22" s="408"/>
      <c r="CP22" s="408"/>
      <c r="CQ22" s="408"/>
      <c r="CR22" s="408"/>
      <c r="CS22" s="408"/>
      <c r="CT22" s="408"/>
      <c r="CU22" s="408"/>
      <c r="CV22" s="408"/>
      <c r="CW22" s="408"/>
      <c r="CX22" s="408"/>
      <c r="CY22" s="408"/>
      <c r="CZ22" s="408"/>
      <c r="DA22" s="408"/>
      <c r="DB22" s="408"/>
      <c r="DC22" s="408"/>
      <c r="DD22" s="408"/>
      <c r="DE22" s="408"/>
      <c r="DF22" s="408"/>
      <c r="DG22" s="408"/>
      <c r="DH22" s="408"/>
      <c r="DI22" s="408"/>
      <c r="DJ22" s="408"/>
      <c r="DK22" s="408"/>
      <c r="DL22" s="408"/>
      <c r="DM22" s="408"/>
      <c r="DN22" s="408"/>
      <c r="DO22" s="408"/>
      <c r="DP22" s="408"/>
      <c r="DQ22" s="408"/>
      <c r="DR22" s="408"/>
      <c r="DS22" s="408"/>
      <c r="DT22" s="408"/>
      <c r="DU22" s="408"/>
      <c r="DV22" s="408"/>
      <c r="DW22" s="408"/>
      <c r="DX22" s="408"/>
      <c r="DY22" s="408"/>
      <c r="DZ22" s="408"/>
      <c r="EA22" s="408"/>
      <c r="EB22" s="408"/>
      <c r="EC22" s="408"/>
      <c r="ED22" s="408"/>
      <c r="EE22" s="408"/>
      <c r="EF22" s="408"/>
      <c r="EG22" s="408"/>
      <c r="EH22" s="408"/>
      <c r="EI22" s="408"/>
      <c r="EJ22" s="408"/>
      <c r="EK22" s="408"/>
      <c r="EL22" s="408"/>
      <c r="EM22" s="451"/>
      <c r="EN22" s="408"/>
      <c r="EO22" s="408"/>
      <c r="EP22" s="408"/>
      <c r="FG22" s="409"/>
      <c r="FH22" s="409"/>
      <c r="FI22" s="409"/>
      <c r="FJ22" s="409"/>
      <c r="FK22" s="409"/>
      <c r="FL22" s="409"/>
      <c r="FM22" s="409"/>
    </row>
    <row r="23" spans="1:169" ht="15" customHeight="1">
      <c r="A23" s="410">
        <v>3</v>
      </c>
      <c r="B23" s="181" t="s">
        <v>1301</v>
      </c>
      <c r="C23" s="407"/>
      <c r="D23" s="407"/>
      <c r="E23" s="407"/>
      <c r="F23" s="407"/>
      <c r="G23" s="407"/>
      <c r="H23" s="407"/>
      <c r="I23" s="407"/>
      <c r="J23" s="407"/>
      <c r="K23" s="407"/>
      <c r="L23" s="407"/>
      <c r="M23" s="408"/>
      <c r="N23" s="408"/>
      <c r="O23" s="408"/>
      <c r="P23" s="408"/>
      <c r="Q23" s="408"/>
      <c r="R23" s="408"/>
      <c r="S23" s="408"/>
      <c r="T23" s="408"/>
      <c r="U23" s="408"/>
      <c r="V23" s="408"/>
      <c r="W23" s="408"/>
      <c r="X23" s="408"/>
      <c r="Y23" s="408"/>
      <c r="Z23" s="408"/>
      <c r="AA23" s="408"/>
      <c r="AB23" s="408"/>
      <c r="AC23" s="408"/>
      <c r="AD23" s="408"/>
      <c r="AE23" s="408"/>
      <c r="AF23" s="408"/>
      <c r="AG23" s="408"/>
      <c r="AH23" s="408"/>
      <c r="AI23" s="408"/>
      <c r="AJ23" s="408"/>
      <c r="AK23" s="408"/>
      <c r="AL23" s="408"/>
      <c r="AM23" s="408"/>
      <c r="AN23" s="408"/>
      <c r="AO23" s="408"/>
      <c r="AP23" s="408"/>
      <c r="AQ23" s="408"/>
      <c r="AR23" s="408"/>
      <c r="AS23" s="408"/>
      <c r="AT23" s="408"/>
      <c r="AU23" s="408"/>
      <c r="AV23" s="408"/>
      <c r="AW23" s="408"/>
      <c r="AX23" s="408"/>
      <c r="AY23" s="408"/>
      <c r="AZ23" s="408"/>
      <c r="BA23" s="408"/>
      <c r="BB23" s="408"/>
      <c r="BC23" s="408"/>
      <c r="BD23" s="408"/>
      <c r="BE23" s="408"/>
      <c r="BF23" s="408"/>
      <c r="BG23" s="408"/>
      <c r="BH23" s="408"/>
      <c r="BI23" s="408"/>
      <c r="BJ23" s="408"/>
      <c r="BK23" s="408"/>
      <c r="BL23" s="408"/>
      <c r="BM23" s="408"/>
      <c r="BN23" s="408"/>
      <c r="BO23" s="408"/>
      <c r="BP23" s="408"/>
      <c r="BQ23" s="408"/>
      <c r="BR23" s="408"/>
      <c r="BS23" s="408"/>
      <c r="BT23" s="408"/>
      <c r="BU23" s="408"/>
      <c r="BV23" s="408"/>
      <c r="BW23" s="408"/>
      <c r="BX23" s="408"/>
      <c r="BY23" s="408"/>
      <c r="BZ23" s="408"/>
      <c r="CA23" s="408"/>
      <c r="CB23" s="408"/>
      <c r="CC23" s="408"/>
      <c r="CD23" s="408"/>
      <c r="CE23" s="408"/>
      <c r="CF23" s="408"/>
      <c r="CG23" s="408"/>
      <c r="CH23" s="408"/>
      <c r="CI23" s="408"/>
      <c r="CJ23" s="408"/>
      <c r="CK23" s="408"/>
      <c r="CL23" s="408"/>
      <c r="CM23" s="408"/>
      <c r="CN23" s="408"/>
      <c r="CO23" s="408"/>
      <c r="CP23" s="408"/>
      <c r="CQ23" s="408"/>
      <c r="CR23" s="408"/>
      <c r="CS23" s="408"/>
      <c r="CT23" s="408"/>
      <c r="CU23" s="408"/>
      <c r="CV23" s="408"/>
      <c r="CW23" s="408"/>
      <c r="CX23" s="408"/>
      <c r="CY23" s="408"/>
      <c r="CZ23" s="408"/>
      <c r="DA23" s="408"/>
      <c r="DB23" s="408"/>
      <c r="DC23" s="408"/>
      <c r="DD23" s="408"/>
      <c r="DE23" s="408"/>
      <c r="DF23" s="408"/>
      <c r="DG23" s="408"/>
      <c r="DH23" s="408"/>
      <c r="DI23" s="408"/>
      <c r="DJ23" s="408"/>
      <c r="DK23" s="408"/>
      <c r="DL23" s="408"/>
      <c r="DM23" s="408"/>
      <c r="DN23" s="408"/>
      <c r="DO23" s="408"/>
      <c r="DP23" s="408"/>
      <c r="DQ23" s="408"/>
      <c r="DR23" s="408"/>
      <c r="DS23" s="408"/>
      <c r="DT23" s="408"/>
      <c r="DU23" s="408"/>
      <c r="DV23" s="408"/>
      <c r="DW23" s="408"/>
      <c r="DX23" s="408"/>
      <c r="DY23" s="408"/>
      <c r="DZ23" s="408"/>
      <c r="EA23" s="408"/>
      <c r="EB23" s="408"/>
      <c r="EC23" s="408"/>
      <c r="ED23" s="408"/>
      <c r="EE23" s="408"/>
      <c r="EF23" s="408"/>
      <c r="EG23" s="408"/>
      <c r="EH23" s="408"/>
      <c r="EI23" s="408"/>
      <c r="EJ23" s="408"/>
      <c r="EK23" s="408"/>
      <c r="EL23" s="408"/>
      <c r="EM23" s="451"/>
      <c r="EN23" s="408"/>
      <c r="EO23" s="408"/>
      <c r="EP23" s="408"/>
      <c r="FG23" s="409"/>
      <c r="FH23" s="409"/>
      <c r="FI23" s="409"/>
      <c r="FJ23" s="409"/>
      <c r="FK23" s="409"/>
      <c r="FL23" s="409"/>
      <c r="FM23" s="409"/>
    </row>
    <row r="24" spans="1:169" ht="15" hidden="1" customHeight="1">
      <c r="A24" s="410" t="s">
        <v>82</v>
      </c>
      <c r="B24" s="459" t="s">
        <v>1302</v>
      </c>
      <c r="C24" s="407"/>
      <c r="D24" s="407"/>
      <c r="E24" s="407"/>
      <c r="F24" s="407"/>
      <c r="G24" s="407"/>
      <c r="H24" s="407"/>
      <c r="I24" s="407"/>
      <c r="J24" s="407"/>
      <c r="K24" s="407"/>
      <c r="L24" s="407"/>
      <c r="M24" s="408"/>
      <c r="N24" s="408"/>
      <c r="O24" s="408"/>
      <c r="P24" s="408"/>
      <c r="Q24" s="408"/>
      <c r="R24" s="408"/>
      <c r="S24" s="408"/>
      <c r="T24" s="408"/>
      <c r="U24" s="408"/>
      <c r="V24" s="408"/>
      <c r="W24" s="408"/>
      <c r="X24" s="408"/>
      <c r="Y24" s="408"/>
      <c r="Z24" s="408"/>
      <c r="AA24" s="408"/>
      <c r="AB24" s="408"/>
      <c r="AC24" s="408"/>
      <c r="AD24" s="408"/>
      <c r="AE24" s="408"/>
      <c r="AF24" s="408"/>
      <c r="AG24" s="408"/>
      <c r="AH24" s="408"/>
      <c r="AI24" s="408"/>
      <c r="AJ24" s="408"/>
      <c r="AK24" s="408"/>
      <c r="AL24" s="408"/>
      <c r="AM24" s="408"/>
      <c r="AN24" s="408"/>
      <c r="AO24" s="408"/>
      <c r="AP24" s="408"/>
      <c r="AQ24" s="408"/>
      <c r="AR24" s="408"/>
      <c r="AS24" s="408"/>
      <c r="AT24" s="408"/>
      <c r="AU24" s="408"/>
      <c r="AV24" s="408"/>
      <c r="AW24" s="408"/>
      <c r="AX24" s="408"/>
      <c r="AY24" s="408"/>
      <c r="AZ24" s="408"/>
      <c r="BA24" s="408"/>
      <c r="BB24" s="408"/>
      <c r="BC24" s="408"/>
      <c r="BD24" s="408"/>
      <c r="BE24" s="408"/>
      <c r="BF24" s="408"/>
      <c r="BG24" s="408"/>
      <c r="BH24" s="408"/>
      <c r="BI24" s="408"/>
      <c r="BJ24" s="408"/>
      <c r="BK24" s="408"/>
      <c r="BL24" s="408"/>
      <c r="BM24" s="408"/>
      <c r="BN24" s="408"/>
      <c r="BO24" s="408"/>
      <c r="BP24" s="408"/>
      <c r="BQ24" s="408"/>
      <c r="BR24" s="408"/>
      <c r="BS24" s="408"/>
      <c r="BT24" s="408"/>
      <c r="BU24" s="408"/>
      <c r="BV24" s="408"/>
      <c r="BW24" s="408"/>
      <c r="BX24" s="408"/>
      <c r="BY24" s="408"/>
      <c r="BZ24" s="408"/>
      <c r="CA24" s="408"/>
      <c r="CB24" s="408"/>
      <c r="CC24" s="408"/>
      <c r="CD24" s="408"/>
      <c r="CE24" s="408"/>
      <c r="CF24" s="408"/>
      <c r="CG24" s="408"/>
      <c r="CH24" s="408"/>
      <c r="CI24" s="408"/>
      <c r="CJ24" s="408"/>
      <c r="CK24" s="408"/>
      <c r="CL24" s="408"/>
      <c r="CM24" s="408"/>
      <c r="CN24" s="408"/>
      <c r="CO24" s="408"/>
      <c r="CP24" s="408"/>
      <c r="CQ24" s="408"/>
      <c r="CR24" s="408"/>
      <c r="CS24" s="408"/>
      <c r="CT24" s="408"/>
      <c r="CU24" s="408"/>
      <c r="CV24" s="408"/>
      <c r="CW24" s="408"/>
      <c r="CX24" s="408"/>
      <c r="CY24" s="408"/>
      <c r="CZ24" s="408"/>
      <c r="DA24" s="408"/>
      <c r="DB24" s="408"/>
      <c r="DC24" s="408"/>
      <c r="DD24" s="408"/>
      <c r="DE24" s="408"/>
      <c r="DF24" s="408"/>
      <c r="DG24" s="408"/>
      <c r="DH24" s="408"/>
      <c r="DI24" s="408"/>
      <c r="DJ24" s="408"/>
      <c r="DK24" s="408"/>
      <c r="DL24" s="408"/>
      <c r="DM24" s="408"/>
      <c r="DN24" s="408"/>
      <c r="DO24" s="408"/>
      <c r="DP24" s="408"/>
      <c r="DQ24" s="408"/>
      <c r="DR24" s="408"/>
      <c r="DS24" s="408"/>
      <c r="DT24" s="408"/>
      <c r="DU24" s="408"/>
      <c r="DV24" s="408"/>
      <c r="DW24" s="408"/>
      <c r="DX24" s="408"/>
      <c r="DY24" s="408"/>
      <c r="DZ24" s="408"/>
      <c r="EA24" s="408"/>
      <c r="EB24" s="408"/>
      <c r="EC24" s="408"/>
      <c r="ED24" s="408"/>
      <c r="EE24" s="408"/>
      <c r="EF24" s="408"/>
      <c r="EG24" s="408"/>
      <c r="EH24" s="408"/>
      <c r="EI24" s="408"/>
      <c r="EJ24" s="408"/>
      <c r="EK24" s="408"/>
      <c r="EL24" s="408"/>
      <c r="EM24" s="451"/>
      <c r="EN24" s="408"/>
      <c r="EO24" s="408"/>
      <c r="EP24" s="408"/>
      <c r="FG24" s="409"/>
      <c r="FH24" s="409"/>
      <c r="FI24" s="409"/>
      <c r="FJ24" s="409"/>
      <c r="FK24" s="409"/>
      <c r="FL24" s="409"/>
      <c r="FM24" s="409"/>
    </row>
    <row r="25" spans="1:169" ht="15" hidden="1" customHeight="1">
      <c r="A25" s="410" t="s">
        <v>83</v>
      </c>
      <c r="B25" s="459" t="s">
        <v>1303</v>
      </c>
      <c r="C25" s="407"/>
      <c r="D25" s="407"/>
      <c r="E25" s="407"/>
      <c r="F25" s="407"/>
      <c r="G25" s="407"/>
      <c r="H25" s="407"/>
      <c r="I25" s="407"/>
      <c r="J25" s="407"/>
      <c r="K25" s="407"/>
      <c r="L25" s="407"/>
      <c r="M25" s="408"/>
      <c r="N25" s="408"/>
      <c r="O25" s="408"/>
      <c r="P25" s="408"/>
      <c r="Q25" s="408"/>
      <c r="R25" s="408"/>
      <c r="S25" s="408"/>
      <c r="T25" s="408"/>
      <c r="U25" s="408"/>
      <c r="V25" s="408"/>
      <c r="W25" s="408"/>
      <c r="X25" s="408"/>
      <c r="Y25" s="408"/>
      <c r="Z25" s="408"/>
      <c r="AA25" s="408"/>
      <c r="AB25" s="408"/>
      <c r="AC25" s="408"/>
      <c r="AD25" s="408"/>
      <c r="AE25" s="408"/>
      <c r="AF25" s="408"/>
      <c r="AG25" s="408"/>
      <c r="AH25" s="408"/>
      <c r="AI25" s="408"/>
      <c r="AJ25" s="408"/>
      <c r="AK25" s="408"/>
      <c r="AL25" s="408"/>
      <c r="AM25" s="408"/>
      <c r="AN25" s="408"/>
      <c r="AO25" s="408"/>
      <c r="AP25" s="408"/>
      <c r="AQ25" s="408"/>
      <c r="AR25" s="408"/>
      <c r="AS25" s="408"/>
      <c r="AT25" s="408"/>
      <c r="AU25" s="408"/>
      <c r="AV25" s="408"/>
      <c r="AW25" s="408"/>
      <c r="AX25" s="408"/>
      <c r="AY25" s="408"/>
      <c r="AZ25" s="408"/>
      <c r="BA25" s="408"/>
      <c r="BB25" s="408"/>
      <c r="BC25" s="408"/>
      <c r="BD25" s="408"/>
      <c r="BE25" s="408"/>
      <c r="BF25" s="408"/>
      <c r="BG25" s="408"/>
      <c r="BH25" s="408"/>
      <c r="BI25" s="408"/>
      <c r="BJ25" s="408"/>
      <c r="BK25" s="408"/>
      <c r="BL25" s="408"/>
      <c r="BM25" s="408"/>
      <c r="BN25" s="408"/>
      <c r="BO25" s="408"/>
      <c r="BP25" s="408"/>
      <c r="BQ25" s="408"/>
      <c r="BR25" s="408"/>
      <c r="BS25" s="408"/>
      <c r="BT25" s="408"/>
      <c r="BU25" s="408"/>
      <c r="BV25" s="408"/>
      <c r="BW25" s="408"/>
      <c r="BX25" s="408"/>
      <c r="BY25" s="408"/>
      <c r="BZ25" s="408"/>
      <c r="CA25" s="408"/>
      <c r="CB25" s="408"/>
      <c r="CC25" s="408"/>
      <c r="CD25" s="408"/>
      <c r="CE25" s="408"/>
      <c r="CF25" s="408"/>
      <c r="CG25" s="408"/>
      <c r="CH25" s="408"/>
      <c r="CI25" s="408"/>
      <c r="CJ25" s="408"/>
      <c r="CK25" s="408"/>
      <c r="CL25" s="408"/>
      <c r="CM25" s="408"/>
      <c r="CN25" s="408"/>
      <c r="CO25" s="408"/>
      <c r="CP25" s="408"/>
      <c r="CQ25" s="408"/>
      <c r="CR25" s="408"/>
      <c r="CS25" s="408"/>
      <c r="CT25" s="408"/>
      <c r="CU25" s="408"/>
      <c r="CV25" s="408"/>
      <c r="CW25" s="408"/>
      <c r="CX25" s="408"/>
      <c r="CY25" s="408"/>
      <c r="CZ25" s="408"/>
      <c r="DA25" s="408"/>
      <c r="DB25" s="408"/>
      <c r="DC25" s="408"/>
      <c r="DD25" s="408"/>
      <c r="DE25" s="408"/>
      <c r="DF25" s="408"/>
      <c r="DG25" s="408"/>
      <c r="DH25" s="408"/>
      <c r="DI25" s="408"/>
      <c r="DJ25" s="408"/>
      <c r="DK25" s="408"/>
      <c r="DL25" s="408"/>
      <c r="DM25" s="408"/>
      <c r="DN25" s="408"/>
      <c r="DO25" s="408"/>
      <c r="DP25" s="408"/>
      <c r="DQ25" s="408"/>
      <c r="DR25" s="408"/>
      <c r="DS25" s="408"/>
      <c r="DT25" s="408"/>
      <c r="DU25" s="408"/>
      <c r="DV25" s="408"/>
      <c r="DW25" s="408"/>
      <c r="DX25" s="408"/>
      <c r="DY25" s="408"/>
      <c r="DZ25" s="408"/>
      <c r="EA25" s="408"/>
      <c r="EB25" s="408"/>
      <c r="EC25" s="408"/>
      <c r="ED25" s="408"/>
      <c r="EE25" s="408"/>
      <c r="EF25" s="408"/>
      <c r="EG25" s="408"/>
      <c r="EH25" s="408"/>
      <c r="EI25" s="408"/>
      <c r="EJ25" s="408"/>
      <c r="EK25" s="408"/>
      <c r="EL25" s="408"/>
      <c r="EM25" s="451"/>
      <c r="EN25" s="408"/>
      <c r="EO25" s="408"/>
      <c r="EP25" s="408"/>
      <c r="FG25" s="409"/>
      <c r="FH25" s="409"/>
      <c r="FI25" s="409"/>
      <c r="FJ25" s="409"/>
      <c r="FK25" s="409"/>
      <c r="FL25" s="409"/>
      <c r="FM25" s="409"/>
    </row>
    <row r="26" spans="1:169" ht="15" hidden="1" customHeight="1">
      <c r="A26" s="410" t="s">
        <v>86</v>
      </c>
      <c r="B26" s="459" t="s">
        <v>1304</v>
      </c>
      <c r="C26" s="407"/>
      <c r="D26" s="407"/>
      <c r="E26" s="407"/>
      <c r="F26" s="407"/>
      <c r="G26" s="407"/>
      <c r="H26" s="407"/>
      <c r="I26" s="407"/>
      <c r="J26" s="407"/>
      <c r="K26" s="407"/>
      <c r="L26" s="407"/>
      <c r="M26" s="408"/>
      <c r="N26" s="408"/>
      <c r="O26" s="408"/>
      <c r="P26" s="408"/>
      <c r="Q26" s="408"/>
      <c r="R26" s="408"/>
      <c r="S26" s="408"/>
      <c r="T26" s="408"/>
      <c r="U26" s="408"/>
      <c r="V26" s="408"/>
      <c r="W26" s="408"/>
      <c r="X26" s="408"/>
      <c r="Y26" s="408"/>
      <c r="Z26" s="408"/>
      <c r="AA26" s="408"/>
      <c r="AB26" s="408"/>
      <c r="AC26" s="408"/>
      <c r="AD26" s="408"/>
      <c r="AE26" s="408"/>
      <c r="AF26" s="408"/>
      <c r="AG26" s="408"/>
      <c r="AH26" s="408"/>
      <c r="AI26" s="408"/>
      <c r="AJ26" s="408"/>
      <c r="AK26" s="408"/>
      <c r="AL26" s="408"/>
      <c r="AM26" s="408"/>
      <c r="AN26" s="408"/>
      <c r="AO26" s="408"/>
      <c r="AP26" s="408"/>
      <c r="AQ26" s="408"/>
      <c r="AR26" s="408"/>
      <c r="AS26" s="408"/>
      <c r="AT26" s="408"/>
      <c r="AU26" s="408"/>
      <c r="AV26" s="408"/>
      <c r="AW26" s="408"/>
      <c r="AX26" s="408"/>
      <c r="AY26" s="408"/>
      <c r="AZ26" s="408"/>
      <c r="BA26" s="408"/>
      <c r="BB26" s="408"/>
      <c r="BC26" s="408"/>
      <c r="BD26" s="408"/>
      <c r="BE26" s="408"/>
      <c r="BF26" s="408"/>
      <c r="BG26" s="408"/>
      <c r="BH26" s="408"/>
      <c r="BI26" s="408"/>
      <c r="BJ26" s="408"/>
      <c r="BK26" s="408"/>
      <c r="BL26" s="408"/>
      <c r="BM26" s="408"/>
      <c r="BN26" s="408"/>
      <c r="BO26" s="408"/>
      <c r="BP26" s="408"/>
      <c r="BQ26" s="408"/>
      <c r="BR26" s="408"/>
      <c r="BS26" s="408"/>
      <c r="BT26" s="408"/>
      <c r="BU26" s="408"/>
      <c r="BV26" s="408"/>
      <c r="BW26" s="408"/>
      <c r="BX26" s="408"/>
      <c r="BY26" s="408"/>
      <c r="BZ26" s="408"/>
      <c r="CA26" s="408"/>
      <c r="CB26" s="408"/>
      <c r="CC26" s="408"/>
      <c r="CD26" s="408"/>
      <c r="CE26" s="408"/>
      <c r="CF26" s="408"/>
      <c r="CG26" s="408"/>
      <c r="CH26" s="408"/>
      <c r="CI26" s="408"/>
      <c r="CJ26" s="408"/>
      <c r="CK26" s="408"/>
      <c r="CL26" s="408"/>
      <c r="CM26" s="408"/>
      <c r="CN26" s="408"/>
      <c r="CO26" s="408"/>
      <c r="CP26" s="408"/>
      <c r="CQ26" s="408"/>
      <c r="CR26" s="408"/>
      <c r="CS26" s="408"/>
      <c r="CT26" s="408"/>
      <c r="CU26" s="408"/>
      <c r="CV26" s="408"/>
      <c r="CW26" s="408"/>
      <c r="CX26" s="408"/>
      <c r="CY26" s="408"/>
      <c r="CZ26" s="408"/>
      <c r="DA26" s="408"/>
      <c r="DB26" s="408"/>
      <c r="DC26" s="408"/>
      <c r="DD26" s="408"/>
      <c r="DE26" s="408"/>
      <c r="DF26" s="408"/>
      <c r="DG26" s="408"/>
      <c r="DH26" s="408"/>
      <c r="DI26" s="408"/>
      <c r="DJ26" s="408"/>
      <c r="DK26" s="408"/>
      <c r="DL26" s="408"/>
      <c r="DM26" s="408"/>
      <c r="DN26" s="408"/>
      <c r="DO26" s="408"/>
      <c r="DP26" s="408"/>
      <c r="DQ26" s="408"/>
      <c r="DR26" s="408"/>
      <c r="DS26" s="408"/>
      <c r="DT26" s="408"/>
      <c r="DU26" s="408"/>
      <c r="DV26" s="408"/>
      <c r="DW26" s="408"/>
      <c r="DX26" s="408"/>
      <c r="DY26" s="408"/>
      <c r="DZ26" s="408"/>
      <c r="EA26" s="408"/>
      <c r="EB26" s="408"/>
      <c r="EC26" s="408"/>
      <c r="ED26" s="408"/>
      <c r="EE26" s="408"/>
      <c r="EF26" s="408"/>
      <c r="EG26" s="408"/>
      <c r="EH26" s="408"/>
      <c r="EI26" s="408"/>
      <c r="EJ26" s="408"/>
      <c r="EK26" s="408"/>
      <c r="EL26" s="408"/>
      <c r="EM26" s="451"/>
      <c r="EN26" s="408"/>
      <c r="EO26" s="408"/>
      <c r="EP26" s="408"/>
      <c r="FG26" s="409"/>
      <c r="FH26" s="409"/>
      <c r="FI26" s="409"/>
      <c r="FJ26" s="409"/>
      <c r="FK26" s="409"/>
      <c r="FL26" s="409"/>
      <c r="FM26" s="409"/>
    </row>
    <row r="27" spans="1:169" ht="15" hidden="1" customHeight="1">
      <c r="A27" s="410" t="s">
        <v>217</v>
      </c>
      <c r="B27" s="459" t="s">
        <v>1305</v>
      </c>
      <c r="C27" s="407"/>
      <c r="D27" s="407"/>
      <c r="E27" s="407"/>
      <c r="F27" s="407"/>
      <c r="G27" s="407"/>
      <c r="H27" s="407"/>
      <c r="I27" s="407"/>
      <c r="J27" s="407"/>
      <c r="K27" s="407"/>
      <c r="L27" s="407"/>
      <c r="M27" s="408"/>
      <c r="N27" s="408"/>
      <c r="O27" s="408"/>
      <c r="P27" s="408"/>
      <c r="Q27" s="408"/>
      <c r="R27" s="408"/>
      <c r="S27" s="408"/>
      <c r="T27" s="408"/>
      <c r="U27" s="408"/>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c r="BB27" s="408"/>
      <c r="BC27" s="408"/>
      <c r="BD27" s="408"/>
      <c r="BE27" s="408"/>
      <c r="BF27" s="408"/>
      <c r="BG27" s="408"/>
      <c r="BH27" s="408"/>
      <c r="BI27" s="408"/>
      <c r="BJ27" s="408"/>
      <c r="BK27" s="408"/>
      <c r="BL27" s="408"/>
      <c r="BM27" s="408"/>
      <c r="BN27" s="408"/>
      <c r="BO27" s="408"/>
      <c r="BP27" s="408"/>
      <c r="BQ27" s="408"/>
      <c r="BR27" s="408"/>
      <c r="BS27" s="408"/>
      <c r="BT27" s="408"/>
      <c r="BU27" s="408"/>
      <c r="BV27" s="408"/>
      <c r="BW27" s="408"/>
      <c r="BX27" s="408"/>
      <c r="BY27" s="408"/>
      <c r="BZ27" s="408"/>
      <c r="CA27" s="408"/>
      <c r="CB27" s="408"/>
      <c r="CC27" s="408"/>
      <c r="CD27" s="408"/>
      <c r="CE27" s="408"/>
      <c r="CF27" s="408"/>
      <c r="CG27" s="408"/>
      <c r="CH27" s="408"/>
      <c r="CI27" s="408"/>
      <c r="CJ27" s="408"/>
      <c r="CK27" s="408"/>
      <c r="CL27" s="408"/>
      <c r="CM27" s="408"/>
      <c r="CN27" s="408"/>
      <c r="CO27" s="408"/>
      <c r="CP27" s="408"/>
      <c r="CQ27" s="408"/>
      <c r="CR27" s="408"/>
      <c r="CS27" s="408"/>
      <c r="CT27" s="408"/>
      <c r="CU27" s="408"/>
      <c r="CV27" s="408"/>
      <c r="CW27" s="408"/>
      <c r="CX27" s="408"/>
      <c r="CY27" s="408"/>
      <c r="CZ27" s="408"/>
      <c r="DA27" s="408"/>
      <c r="DB27" s="408"/>
      <c r="DC27" s="408"/>
      <c r="DD27" s="408"/>
      <c r="DE27" s="408"/>
      <c r="DF27" s="408"/>
      <c r="DG27" s="408"/>
      <c r="DH27" s="408"/>
      <c r="DI27" s="408"/>
      <c r="DJ27" s="408"/>
      <c r="DK27" s="408"/>
      <c r="DL27" s="408"/>
      <c r="DM27" s="408"/>
      <c r="DN27" s="408"/>
      <c r="DO27" s="408"/>
      <c r="DP27" s="408"/>
      <c r="DQ27" s="408"/>
      <c r="DR27" s="408"/>
      <c r="DS27" s="408"/>
      <c r="DT27" s="408"/>
      <c r="DU27" s="408"/>
      <c r="DV27" s="408"/>
      <c r="DW27" s="408"/>
      <c r="DX27" s="408"/>
      <c r="DY27" s="408"/>
      <c r="DZ27" s="408"/>
      <c r="EA27" s="408"/>
      <c r="EB27" s="408"/>
      <c r="EC27" s="408"/>
      <c r="ED27" s="408"/>
      <c r="EE27" s="408"/>
      <c r="EF27" s="408"/>
      <c r="EG27" s="408"/>
      <c r="EH27" s="408"/>
      <c r="EI27" s="408"/>
      <c r="EJ27" s="408"/>
      <c r="EK27" s="408"/>
      <c r="EL27" s="408"/>
      <c r="EM27" s="451"/>
      <c r="EN27" s="408"/>
      <c r="EO27" s="408"/>
      <c r="EP27" s="408"/>
      <c r="FG27" s="409"/>
      <c r="FH27" s="409"/>
      <c r="FI27" s="409"/>
      <c r="FJ27" s="409"/>
      <c r="FK27" s="409"/>
      <c r="FL27" s="409"/>
      <c r="FM27" s="409"/>
    </row>
    <row r="28" spans="1:169" hidden="1">
      <c r="A28" s="410" t="s">
        <v>218</v>
      </c>
      <c r="B28" s="459" t="s">
        <v>1306</v>
      </c>
      <c r="C28" s="412"/>
      <c r="D28" s="412"/>
      <c r="E28" s="412"/>
      <c r="F28" s="412"/>
      <c r="G28" s="412"/>
      <c r="H28" s="412"/>
      <c r="I28" s="412"/>
      <c r="J28" s="412"/>
      <c r="K28" s="412"/>
      <c r="L28" s="412"/>
      <c r="M28" s="413"/>
      <c r="N28" s="414"/>
      <c r="O28" s="413"/>
      <c r="P28" s="414"/>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3"/>
      <c r="AN28" s="413"/>
      <c r="AO28" s="414"/>
      <c r="AP28" s="413"/>
      <c r="AQ28" s="413"/>
      <c r="AR28" s="414"/>
      <c r="AS28" s="413"/>
      <c r="AT28" s="413"/>
      <c r="AU28" s="413"/>
      <c r="AV28" s="413"/>
      <c r="AW28" s="413"/>
      <c r="AX28" s="413"/>
      <c r="AY28" s="414"/>
      <c r="AZ28" s="413"/>
      <c r="BA28" s="413"/>
      <c r="BB28" s="414"/>
      <c r="BC28" s="413"/>
      <c r="BD28" s="413"/>
      <c r="BE28" s="413"/>
      <c r="BF28" s="413"/>
      <c r="BG28" s="413"/>
      <c r="BH28" s="413"/>
      <c r="BI28" s="414"/>
      <c r="BJ28" s="413"/>
      <c r="BK28" s="413"/>
      <c r="BL28" s="414"/>
      <c r="BM28" s="413"/>
      <c r="BN28" s="413"/>
      <c r="BO28" s="413"/>
      <c r="BP28" s="413"/>
      <c r="BQ28" s="413"/>
      <c r="BR28" s="413"/>
      <c r="BS28" s="413"/>
      <c r="BT28" s="413"/>
      <c r="BU28" s="413"/>
      <c r="BV28" s="413"/>
      <c r="BW28" s="413"/>
      <c r="BX28" s="413"/>
      <c r="BY28" s="413"/>
      <c r="BZ28" s="413"/>
      <c r="CA28" s="413"/>
      <c r="CB28" s="413"/>
      <c r="CC28" s="413"/>
      <c r="CD28" s="413"/>
      <c r="CE28" s="413"/>
      <c r="CF28" s="414"/>
      <c r="CG28" s="413"/>
      <c r="CH28" s="413"/>
      <c r="CI28" s="413"/>
      <c r="CJ28" s="413"/>
      <c r="CK28" s="413"/>
      <c r="CL28" s="413"/>
      <c r="CM28" s="414"/>
      <c r="CN28" s="413"/>
      <c r="CO28" s="413"/>
      <c r="CP28" s="414"/>
      <c r="CQ28" s="413"/>
      <c r="CR28" s="413"/>
      <c r="CS28" s="413"/>
      <c r="CT28" s="413"/>
      <c r="CU28" s="413"/>
      <c r="CV28" s="413"/>
      <c r="CW28" s="414"/>
      <c r="CX28" s="413"/>
      <c r="CY28" s="413"/>
      <c r="CZ28" s="414"/>
      <c r="DA28" s="413"/>
      <c r="DB28" s="414"/>
      <c r="DC28" s="413"/>
      <c r="DD28" s="413"/>
      <c r="DE28" s="413"/>
      <c r="DF28" s="413"/>
      <c r="DG28" s="414"/>
      <c r="DH28" s="413"/>
      <c r="DI28" s="413"/>
      <c r="DJ28" s="414"/>
      <c r="DK28" s="413"/>
      <c r="DL28" s="413"/>
      <c r="DM28" s="413"/>
      <c r="DN28" s="413"/>
      <c r="DO28" s="413"/>
      <c r="DP28" s="413"/>
      <c r="DQ28" s="414"/>
      <c r="DR28" s="413"/>
      <c r="DS28" s="413"/>
      <c r="DT28" s="413"/>
      <c r="DU28" s="413"/>
      <c r="DV28" s="413"/>
      <c r="DW28" s="413"/>
      <c r="DX28" s="413"/>
      <c r="DY28" s="413"/>
      <c r="DZ28" s="413"/>
      <c r="EA28" s="413"/>
      <c r="EB28" s="413"/>
      <c r="EC28" s="413"/>
      <c r="ED28" s="413"/>
      <c r="EE28" s="413"/>
      <c r="EF28" s="413"/>
      <c r="EG28" s="413"/>
      <c r="EH28" s="413"/>
      <c r="EI28" s="413"/>
      <c r="EJ28" s="413"/>
      <c r="EK28" s="413"/>
      <c r="EL28" s="413"/>
      <c r="EM28" s="452"/>
      <c r="EN28" s="413"/>
      <c r="EO28" s="453"/>
      <c r="EP28" s="413"/>
      <c r="EQ28" s="434"/>
      <c r="ER28" s="434"/>
      <c r="ES28" s="434"/>
      <c r="ET28" s="434"/>
      <c r="EU28" s="434"/>
      <c r="EV28" s="434"/>
      <c r="EW28" s="434"/>
      <c r="EX28" s="434"/>
      <c r="EY28" s="434"/>
      <c r="EZ28" s="434"/>
      <c r="FA28" s="434"/>
      <c r="FB28" s="434"/>
      <c r="FC28" s="434"/>
      <c r="FD28" s="434"/>
      <c r="FE28" s="434"/>
      <c r="FF28" s="399"/>
      <c r="FG28" s="415"/>
      <c r="FH28" s="415"/>
      <c r="FI28" s="415"/>
      <c r="FJ28" s="415"/>
      <c r="FK28" s="415"/>
      <c r="FL28" s="415"/>
      <c r="FM28" s="415"/>
    </row>
    <row r="29" spans="1:169" hidden="1">
      <c r="A29" s="410" t="s">
        <v>1297</v>
      </c>
      <c r="B29" s="459"/>
      <c r="C29" s="412"/>
      <c r="D29" s="412"/>
      <c r="E29" s="412"/>
      <c r="F29" s="412"/>
      <c r="G29" s="412"/>
      <c r="H29" s="412"/>
      <c r="I29" s="412"/>
      <c r="J29" s="412"/>
      <c r="K29" s="412"/>
      <c r="L29" s="412"/>
      <c r="M29" s="413"/>
      <c r="N29" s="414"/>
      <c r="O29" s="413"/>
      <c r="P29" s="414"/>
      <c r="Q29" s="413"/>
      <c r="R29" s="413"/>
      <c r="S29" s="413"/>
      <c r="T29" s="413"/>
      <c r="U29" s="413"/>
      <c r="V29" s="413"/>
      <c r="W29" s="413"/>
      <c r="X29" s="413"/>
      <c r="Y29" s="413"/>
      <c r="Z29" s="413"/>
      <c r="AA29" s="413"/>
      <c r="AB29" s="413"/>
      <c r="AC29" s="413"/>
      <c r="AD29" s="413"/>
      <c r="AE29" s="413"/>
      <c r="AF29" s="413"/>
      <c r="AG29" s="413"/>
      <c r="AH29" s="413"/>
      <c r="AI29" s="413"/>
      <c r="AJ29" s="413"/>
      <c r="AK29" s="413"/>
      <c r="AL29" s="413"/>
      <c r="AM29" s="413"/>
      <c r="AN29" s="413"/>
      <c r="AO29" s="414"/>
      <c r="AP29" s="413"/>
      <c r="AQ29" s="413"/>
      <c r="AR29" s="414"/>
      <c r="AS29" s="413"/>
      <c r="AT29" s="413"/>
      <c r="AU29" s="413"/>
      <c r="AV29" s="413"/>
      <c r="AW29" s="413"/>
      <c r="AX29" s="413"/>
      <c r="AY29" s="414"/>
      <c r="AZ29" s="413"/>
      <c r="BA29" s="413"/>
      <c r="BB29" s="414"/>
      <c r="BC29" s="413"/>
      <c r="BD29" s="413"/>
      <c r="BE29" s="413"/>
      <c r="BF29" s="413"/>
      <c r="BG29" s="413"/>
      <c r="BH29" s="413"/>
      <c r="BI29" s="414"/>
      <c r="BJ29" s="413"/>
      <c r="BK29" s="413"/>
      <c r="BL29" s="414"/>
      <c r="BM29" s="413"/>
      <c r="BN29" s="413"/>
      <c r="BO29" s="413"/>
      <c r="BP29" s="413"/>
      <c r="BQ29" s="413"/>
      <c r="BR29" s="413"/>
      <c r="BS29" s="413"/>
      <c r="BT29" s="413"/>
      <c r="BU29" s="413"/>
      <c r="BV29" s="413"/>
      <c r="BW29" s="413"/>
      <c r="BX29" s="413"/>
      <c r="BY29" s="413"/>
      <c r="BZ29" s="413"/>
      <c r="CA29" s="413"/>
      <c r="CB29" s="413"/>
      <c r="CC29" s="413"/>
      <c r="CD29" s="413"/>
      <c r="CE29" s="413"/>
      <c r="CF29" s="414"/>
      <c r="CG29" s="413"/>
      <c r="CH29" s="413"/>
      <c r="CI29" s="413"/>
      <c r="CJ29" s="413"/>
      <c r="CK29" s="413"/>
      <c r="CL29" s="413"/>
      <c r="CM29" s="414"/>
      <c r="CN29" s="413"/>
      <c r="CO29" s="413"/>
      <c r="CP29" s="414"/>
      <c r="CQ29" s="413"/>
      <c r="CR29" s="413"/>
      <c r="CS29" s="413"/>
      <c r="CT29" s="413"/>
      <c r="CU29" s="413"/>
      <c r="CV29" s="413"/>
      <c r="CW29" s="414"/>
      <c r="CX29" s="413"/>
      <c r="CY29" s="413"/>
      <c r="CZ29" s="414"/>
      <c r="DA29" s="413"/>
      <c r="DB29" s="414"/>
      <c r="DC29" s="413"/>
      <c r="DD29" s="413"/>
      <c r="DE29" s="413"/>
      <c r="DF29" s="413"/>
      <c r="DG29" s="414"/>
      <c r="DH29" s="413"/>
      <c r="DI29" s="413"/>
      <c r="DJ29" s="414"/>
      <c r="DK29" s="413"/>
      <c r="DL29" s="413"/>
      <c r="DM29" s="413"/>
      <c r="DN29" s="413"/>
      <c r="DO29" s="413"/>
      <c r="DP29" s="413"/>
      <c r="DQ29" s="414"/>
      <c r="DR29" s="413"/>
      <c r="DS29" s="413"/>
      <c r="DT29" s="413"/>
      <c r="DU29" s="413"/>
      <c r="DV29" s="413"/>
      <c r="DW29" s="413"/>
      <c r="DX29" s="413"/>
      <c r="DY29" s="413"/>
      <c r="DZ29" s="413"/>
      <c r="EA29" s="413"/>
      <c r="EB29" s="413"/>
      <c r="EC29" s="413"/>
      <c r="ED29" s="413"/>
      <c r="EE29" s="413"/>
      <c r="EF29" s="413"/>
      <c r="EG29" s="413"/>
      <c r="EH29" s="413"/>
      <c r="EI29" s="413"/>
      <c r="EJ29" s="413"/>
      <c r="EK29" s="413"/>
      <c r="EL29" s="413"/>
      <c r="EM29" s="452"/>
      <c r="EN29" s="413"/>
      <c r="EO29" s="453"/>
      <c r="EP29" s="413"/>
      <c r="EQ29" s="434"/>
      <c r="ER29" s="434"/>
      <c r="ES29" s="434"/>
      <c r="ET29" s="434"/>
      <c r="EU29" s="434"/>
      <c r="EV29" s="434"/>
      <c r="EW29" s="434"/>
      <c r="EX29" s="434"/>
      <c r="EY29" s="434"/>
      <c r="EZ29" s="434"/>
      <c r="FA29" s="434"/>
      <c r="FB29" s="434"/>
      <c r="FC29" s="434"/>
      <c r="FD29" s="434"/>
      <c r="FE29" s="434"/>
      <c r="FF29" s="399"/>
      <c r="FG29" s="415"/>
      <c r="FH29" s="415"/>
      <c r="FI29" s="415"/>
      <c r="FJ29" s="415"/>
      <c r="FK29" s="415"/>
      <c r="FL29" s="415"/>
      <c r="FM29" s="415"/>
    </row>
    <row r="30" spans="1:169" hidden="1">
      <c r="A30" s="410"/>
      <c r="B30" s="416" t="s">
        <v>672</v>
      </c>
      <c r="C30" s="412"/>
      <c r="D30" s="412"/>
      <c r="E30" s="412"/>
      <c r="F30" s="412"/>
      <c r="G30" s="412"/>
      <c r="H30" s="412"/>
      <c r="I30" s="412"/>
      <c r="J30" s="412"/>
      <c r="K30" s="412"/>
      <c r="L30" s="412"/>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3"/>
      <c r="AL30" s="413"/>
      <c r="AM30" s="413"/>
      <c r="AN30" s="413"/>
      <c r="AO30" s="414"/>
      <c r="AP30" s="413"/>
      <c r="AQ30" s="413"/>
      <c r="AR30" s="413"/>
      <c r="AS30" s="413"/>
      <c r="AT30" s="413"/>
      <c r="AU30" s="413"/>
      <c r="AV30" s="413"/>
      <c r="AW30" s="413"/>
      <c r="AX30" s="413"/>
      <c r="AY30" s="414"/>
      <c r="AZ30" s="413"/>
      <c r="BA30" s="413"/>
      <c r="BB30" s="413"/>
      <c r="BC30" s="413"/>
      <c r="BD30" s="413"/>
      <c r="BE30" s="413"/>
      <c r="BF30" s="413"/>
      <c r="BG30" s="413"/>
      <c r="BH30" s="413"/>
      <c r="BI30" s="414"/>
      <c r="BJ30" s="413"/>
      <c r="BK30" s="413"/>
      <c r="BL30" s="413"/>
      <c r="BM30" s="413"/>
      <c r="BN30" s="413"/>
      <c r="BO30" s="413"/>
      <c r="BP30" s="413"/>
      <c r="BQ30" s="413"/>
      <c r="BR30" s="413"/>
      <c r="BS30" s="413"/>
      <c r="BT30" s="413"/>
      <c r="BU30" s="413"/>
      <c r="BV30" s="413"/>
      <c r="BW30" s="413"/>
      <c r="BX30" s="413"/>
      <c r="BY30" s="413"/>
      <c r="BZ30" s="413"/>
      <c r="CA30" s="413"/>
      <c r="CB30" s="413"/>
      <c r="CC30" s="413"/>
      <c r="CD30" s="413"/>
      <c r="CE30" s="413"/>
      <c r="CF30" s="413"/>
      <c r="CG30" s="413"/>
      <c r="CH30" s="413"/>
      <c r="CI30" s="413"/>
      <c r="CJ30" s="413"/>
      <c r="CK30" s="413"/>
      <c r="CL30" s="413"/>
      <c r="CM30" s="414"/>
      <c r="CN30" s="413"/>
      <c r="CO30" s="413"/>
      <c r="CP30" s="413"/>
      <c r="CQ30" s="413"/>
      <c r="CR30" s="413"/>
      <c r="CS30" s="413"/>
      <c r="CT30" s="413"/>
      <c r="CU30" s="413"/>
      <c r="CV30" s="413"/>
      <c r="CW30" s="414"/>
      <c r="CX30" s="413"/>
      <c r="CY30" s="413"/>
      <c r="CZ30" s="413"/>
      <c r="DA30" s="413"/>
      <c r="DB30" s="413"/>
      <c r="DC30" s="413"/>
      <c r="DD30" s="413"/>
      <c r="DE30" s="413"/>
      <c r="DF30" s="413"/>
      <c r="DG30" s="414"/>
      <c r="DH30" s="413"/>
      <c r="DI30" s="413"/>
      <c r="DJ30" s="413"/>
      <c r="DK30" s="413"/>
      <c r="DL30" s="413"/>
      <c r="DM30" s="413"/>
      <c r="DN30" s="413"/>
      <c r="DO30" s="413"/>
      <c r="DP30" s="413"/>
      <c r="DQ30" s="414"/>
      <c r="DR30" s="413"/>
      <c r="DS30" s="413"/>
      <c r="DT30" s="413"/>
      <c r="DU30" s="413"/>
      <c r="DV30" s="413"/>
      <c r="DW30" s="413"/>
      <c r="DX30" s="413"/>
      <c r="DY30" s="413"/>
      <c r="DZ30" s="413"/>
      <c r="EA30" s="413"/>
      <c r="EB30" s="413"/>
      <c r="EC30" s="413"/>
      <c r="ED30" s="413"/>
      <c r="EE30" s="413"/>
      <c r="EF30" s="413"/>
      <c r="EG30" s="413"/>
      <c r="EH30" s="413"/>
      <c r="EI30" s="413"/>
      <c r="EJ30" s="413"/>
      <c r="EK30" s="413"/>
      <c r="EL30" s="413"/>
      <c r="EM30" s="452"/>
      <c r="EN30" s="413"/>
      <c r="EO30" s="453"/>
      <c r="EP30" s="413"/>
      <c r="EQ30" s="434"/>
      <c r="ER30" s="434"/>
      <c r="ES30" s="434"/>
      <c r="ET30" s="434"/>
      <c r="EU30" s="434"/>
      <c r="EV30" s="434"/>
      <c r="EW30" s="434"/>
      <c r="EX30" s="434"/>
      <c r="EY30" s="434"/>
      <c r="EZ30" s="434"/>
      <c r="FA30" s="434"/>
      <c r="FB30" s="434"/>
      <c r="FC30" s="399"/>
      <c r="FD30" s="399"/>
      <c r="FE30" s="399"/>
      <c r="FF30" s="399"/>
      <c r="FG30" s="415"/>
      <c r="FH30" s="415"/>
      <c r="FI30" s="415"/>
      <c r="FJ30" s="415"/>
      <c r="FK30" s="415"/>
      <c r="FL30" s="415"/>
      <c r="FM30" s="415"/>
    </row>
    <row r="31" spans="1:169" hidden="1">
      <c r="A31" s="410"/>
      <c r="B31" s="57" t="s">
        <v>153</v>
      </c>
      <c r="C31" s="412"/>
      <c r="D31" s="412"/>
      <c r="E31" s="412"/>
      <c r="F31" s="412"/>
      <c r="G31" s="412"/>
      <c r="H31" s="412"/>
      <c r="I31" s="412"/>
      <c r="J31" s="412"/>
      <c r="K31" s="412"/>
      <c r="L31" s="412"/>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4"/>
      <c r="AP31" s="413"/>
      <c r="AQ31" s="413"/>
      <c r="AR31" s="413"/>
      <c r="AS31" s="413"/>
      <c r="AT31" s="413"/>
      <c r="AU31" s="413"/>
      <c r="AV31" s="413"/>
      <c r="AW31" s="413"/>
      <c r="AX31" s="413"/>
      <c r="AY31" s="414"/>
      <c r="AZ31" s="413"/>
      <c r="BA31" s="413"/>
      <c r="BB31" s="413"/>
      <c r="BC31" s="413"/>
      <c r="BD31" s="413"/>
      <c r="BE31" s="413"/>
      <c r="BF31" s="413"/>
      <c r="BG31" s="413"/>
      <c r="BH31" s="413"/>
      <c r="BI31" s="414"/>
      <c r="BJ31" s="413"/>
      <c r="BK31" s="413"/>
      <c r="BL31" s="413"/>
      <c r="BM31" s="413"/>
      <c r="BN31" s="413"/>
      <c r="BO31" s="413"/>
      <c r="BP31" s="413"/>
      <c r="BQ31" s="413"/>
      <c r="BR31" s="413"/>
      <c r="BS31" s="413"/>
      <c r="BT31" s="413"/>
      <c r="BU31" s="413"/>
      <c r="BV31" s="413"/>
      <c r="BW31" s="413"/>
      <c r="BX31" s="413"/>
      <c r="BY31" s="413"/>
      <c r="BZ31" s="413"/>
      <c r="CA31" s="413"/>
      <c r="CB31" s="413"/>
      <c r="CC31" s="413"/>
      <c r="CD31" s="413"/>
      <c r="CE31" s="413"/>
      <c r="CF31" s="413"/>
      <c r="CG31" s="413"/>
      <c r="CH31" s="413"/>
      <c r="CI31" s="413"/>
      <c r="CJ31" s="413"/>
      <c r="CK31" s="413"/>
      <c r="CL31" s="413"/>
      <c r="CM31" s="414"/>
      <c r="CN31" s="413"/>
      <c r="CO31" s="413"/>
      <c r="CP31" s="413"/>
      <c r="CQ31" s="413"/>
      <c r="CR31" s="413"/>
      <c r="CS31" s="413"/>
      <c r="CT31" s="413"/>
      <c r="CU31" s="413"/>
      <c r="CV31" s="413"/>
      <c r="CW31" s="414"/>
      <c r="CX31" s="413"/>
      <c r="CY31" s="413"/>
      <c r="CZ31" s="413"/>
      <c r="DA31" s="413"/>
      <c r="DB31" s="413"/>
      <c r="DC31" s="413"/>
      <c r="DD31" s="413"/>
      <c r="DE31" s="413"/>
      <c r="DF31" s="413"/>
      <c r="DG31" s="414"/>
      <c r="DH31" s="413"/>
      <c r="DI31" s="413"/>
      <c r="DJ31" s="413"/>
      <c r="DK31" s="413"/>
      <c r="DL31" s="413"/>
      <c r="DM31" s="413"/>
      <c r="DN31" s="413"/>
      <c r="DO31" s="413"/>
      <c r="DP31" s="413"/>
      <c r="DQ31" s="414"/>
      <c r="DR31" s="413"/>
      <c r="DS31" s="413"/>
      <c r="DT31" s="413"/>
      <c r="DU31" s="413"/>
      <c r="DV31" s="413"/>
      <c r="DW31" s="413"/>
      <c r="DX31" s="413"/>
      <c r="DY31" s="413"/>
      <c r="DZ31" s="413"/>
      <c r="EA31" s="413"/>
      <c r="EB31" s="413"/>
      <c r="EC31" s="413"/>
      <c r="ED31" s="413"/>
      <c r="EE31" s="413"/>
      <c r="EF31" s="413"/>
      <c r="EG31" s="413"/>
      <c r="EH31" s="413"/>
      <c r="EI31" s="413"/>
      <c r="EJ31" s="413"/>
      <c r="EK31" s="413"/>
      <c r="EL31" s="413"/>
      <c r="EM31" s="452"/>
      <c r="EN31" s="413"/>
      <c r="EO31" s="453"/>
      <c r="EP31" s="413"/>
      <c r="EQ31" s="434"/>
      <c r="ER31" s="434"/>
      <c r="ES31" s="434"/>
      <c r="ET31" s="434"/>
      <c r="EU31" s="434"/>
      <c r="EV31" s="434"/>
      <c r="EW31" s="434"/>
      <c r="EX31" s="434"/>
      <c r="EY31" s="434"/>
      <c r="EZ31" s="434"/>
      <c r="FA31" s="434"/>
      <c r="FB31" s="434"/>
      <c r="FC31" s="399"/>
      <c r="FD31" s="399"/>
      <c r="FE31" s="399"/>
      <c r="FF31" s="399"/>
      <c r="FG31" s="415"/>
      <c r="FH31" s="415"/>
      <c r="FI31" s="415"/>
      <c r="FJ31" s="415"/>
      <c r="FK31" s="415"/>
      <c r="FL31" s="415"/>
      <c r="FM31" s="415"/>
    </row>
    <row r="32" spans="1:169" hidden="1">
      <c r="A32" s="410"/>
      <c r="B32" s="57"/>
      <c r="C32" s="412"/>
      <c r="D32" s="412"/>
      <c r="E32" s="412"/>
      <c r="F32" s="412"/>
      <c r="G32" s="412"/>
      <c r="H32" s="412"/>
      <c r="I32" s="412"/>
      <c r="J32" s="412"/>
      <c r="K32" s="412"/>
      <c r="L32" s="412"/>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3"/>
      <c r="AN32" s="413"/>
      <c r="AO32" s="414"/>
      <c r="AP32" s="413"/>
      <c r="AQ32" s="413"/>
      <c r="AR32" s="413"/>
      <c r="AS32" s="413"/>
      <c r="AT32" s="413"/>
      <c r="AU32" s="413"/>
      <c r="AV32" s="413"/>
      <c r="AW32" s="413"/>
      <c r="AX32" s="413"/>
      <c r="AY32" s="414"/>
      <c r="AZ32" s="413"/>
      <c r="BA32" s="413"/>
      <c r="BB32" s="413"/>
      <c r="BC32" s="413"/>
      <c r="BD32" s="413"/>
      <c r="BE32" s="413"/>
      <c r="BF32" s="413"/>
      <c r="BG32" s="413"/>
      <c r="BH32" s="413"/>
      <c r="BI32" s="414"/>
      <c r="BJ32" s="413"/>
      <c r="BK32" s="413"/>
      <c r="BL32" s="413"/>
      <c r="BM32" s="413"/>
      <c r="BN32" s="413"/>
      <c r="BO32" s="413"/>
      <c r="BP32" s="413"/>
      <c r="BQ32" s="413"/>
      <c r="BR32" s="413"/>
      <c r="BS32" s="413"/>
      <c r="BT32" s="413"/>
      <c r="BU32" s="413"/>
      <c r="BV32" s="413"/>
      <c r="BW32" s="413"/>
      <c r="BX32" s="413"/>
      <c r="BY32" s="413"/>
      <c r="BZ32" s="413"/>
      <c r="CA32" s="413"/>
      <c r="CB32" s="413"/>
      <c r="CC32" s="413"/>
      <c r="CD32" s="413"/>
      <c r="CE32" s="413"/>
      <c r="CF32" s="413"/>
      <c r="CG32" s="413"/>
      <c r="CH32" s="413"/>
      <c r="CI32" s="413"/>
      <c r="CJ32" s="413"/>
      <c r="CK32" s="413"/>
      <c r="CL32" s="413"/>
      <c r="CM32" s="414"/>
      <c r="CN32" s="413"/>
      <c r="CO32" s="413"/>
      <c r="CP32" s="413"/>
      <c r="CQ32" s="413"/>
      <c r="CR32" s="413"/>
      <c r="CS32" s="413"/>
      <c r="CT32" s="413"/>
      <c r="CU32" s="413"/>
      <c r="CV32" s="413"/>
      <c r="CW32" s="414"/>
      <c r="CX32" s="413"/>
      <c r="CY32" s="413"/>
      <c r="CZ32" s="413"/>
      <c r="DA32" s="413"/>
      <c r="DB32" s="413"/>
      <c r="DC32" s="413"/>
      <c r="DD32" s="413"/>
      <c r="DE32" s="413"/>
      <c r="DF32" s="413"/>
      <c r="DG32" s="414"/>
      <c r="DH32" s="413"/>
      <c r="DI32" s="413"/>
      <c r="DJ32" s="413"/>
      <c r="DK32" s="413"/>
      <c r="DL32" s="413"/>
      <c r="DM32" s="413"/>
      <c r="DN32" s="413"/>
      <c r="DO32" s="413"/>
      <c r="DP32" s="413"/>
      <c r="DQ32" s="414"/>
      <c r="DR32" s="413"/>
      <c r="DS32" s="413"/>
      <c r="DT32" s="413"/>
      <c r="DU32" s="413"/>
      <c r="DV32" s="413"/>
      <c r="DW32" s="413"/>
      <c r="DX32" s="413"/>
      <c r="DY32" s="413"/>
      <c r="DZ32" s="413"/>
      <c r="EA32" s="413"/>
      <c r="EB32" s="413"/>
      <c r="EC32" s="413"/>
      <c r="ED32" s="413"/>
      <c r="EE32" s="413"/>
      <c r="EF32" s="413"/>
      <c r="EG32" s="413"/>
      <c r="EH32" s="413"/>
      <c r="EI32" s="413"/>
      <c r="EJ32" s="413"/>
      <c r="EK32" s="413"/>
      <c r="EL32" s="413"/>
      <c r="EM32" s="452"/>
      <c r="EN32" s="413"/>
      <c r="EO32" s="453"/>
      <c r="EP32" s="413"/>
      <c r="EQ32" s="434"/>
      <c r="ER32" s="434"/>
      <c r="ES32" s="434"/>
      <c r="ET32" s="434"/>
      <c r="EU32" s="434"/>
      <c r="EV32" s="434"/>
      <c r="EW32" s="434"/>
      <c r="EX32" s="434"/>
      <c r="EY32" s="434"/>
      <c r="EZ32" s="434"/>
      <c r="FA32" s="434"/>
      <c r="FB32" s="434"/>
      <c r="FC32" s="399"/>
      <c r="FD32" s="399"/>
      <c r="FE32" s="399"/>
      <c r="FF32" s="399"/>
      <c r="FG32" s="415"/>
      <c r="FH32" s="415"/>
      <c r="FI32" s="415"/>
      <c r="FJ32" s="415"/>
      <c r="FK32" s="415"/>
      <c r="FL32" s="415"/>
      <c r="FM32" s="415"/>
    </row>
    <row r="33" spans="1:169" ht="28.5">
      <c r="A33" s="410">
        <v>4</v>
      </c>
      <c r="B33" s="461" t="s">
        <v>1307</v>
      </c>
      <c r="C33" s="412"/>
      <c r="D33" s="412"/>
      <c r="E33" s="412"/>
      <c r="F33" s="412"/>
      <c r="G33" s="412"/>
      <c r="H33" s="412"/>
      <c r="I33" s="412"/>
      <c r="J33" s="412"/>
      <c r="K33" s="412"/>
      <c r="L33" s="412"/>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3"/>
      <c r="AN33" s="413"/>
      <c r="AO33" s="414"/>
      <c r="AP33" s="413"/>
      <c r="AQ33" s="413"/>
      <c r="AR33" s="413"/>
      <c r="AS33" s="413"/>
      <c r="AT33" s="413"/>
      <c r="AU33" s="413"/>
      <c r="AV33" s="413"/>
      <c r="AW33" s="413"/>
      <c r="AX33" s="413"/>
      <c r="AY33" s="414"/>
      <c r="AZ33" s="413"/>
      <c r="BA33" s="413"/>
      <c r="BB33" s="413"/>
      <c r="BC33" s="413"/>
      <c r="BD33" s="413"/>
      <c r="BE33" s="413"/>
      <c r="BF33" s="413"/>
      <c r="BG33" s="413"/>
      <c r="BH33" s="413"/>
      <c r="BI33" s="414"/>
      <c r="BJ33" s="413"/>
      <c r="BK33" s="413"/>
      <c r="BL33" s="413"/>
      <c r="BM33" s="413"/>
      <c r="BN33" s="413"/>
      <c r="BO33" s="413"/>
      <c r="BP33" s="413"/>
      <c r="BQ33" s="413"/>
      <c r="BR33" s="413"/>
      <c r="BS33" s="413"/>
      <c r="BT33" s="413"/>
      <c r="BU33" s="413"/>
      <c r="BV33" s="413"/>
      <c r="BW33" s="413"/>
      <c r="BX33" s="413"/>
      <c r="BY33" s="413"/>
      <c r="BZ33" s="413"/>
      <c r="CA33" s="413"/>
      <c r="CB33" s="413"/>
      <c r="CC33" s="413"/>
      <c r="CD33" s="413"/>
      <c r="CE33" s="413"/>
      <c r="CF33" s="413"/>
      <c r="CG33" s="413"/>
      <c r="CH33" s="413"/>
      <c r="CI33" s="413"/>
      <c r="CJ33" s="413"/>
      <c r="CK33" s="413"/>
      <c r="CL33" s="413"/>
      <c r="CM33" s="414"/>
      <c r="CN33" s="413"/>
      <c r="CO33" s="413"/>
      <c r="CP33" s="413"/>
      <c r="CQ33" s="413"/>
      <c r="CR33" s="413"/>
      <c r="CS33" s="413"/>
      <c r="CT33" s="413"/>
      <c r="CU33" s="413"/>
      <c r="CV33" s="413"/>
      <c r="CW33" s="414"/>
      <c r="CX33" s="413"/>
      <c r="CY33" s="413"/>
      <c r="CZ33" s="413"/>
      <c r="DA33" s="413"/>
      <c r="DB33" s="413"/>
      <c r="DC33" s="413"/>
      <c r="DD33" s="413"/>
      <c r="DE33" s="413"/>
      <c r="DF33" s="413"/>
      <c r="DG33" s="414"/>
      <c r="DH33" s="413"/>
      <c r="DI33" s="413"/>
      <c r="DJ33" s="413"/>
      <c r="DK33" s="413"/>
      <c r="DL33" s="413"/>
      <c r="DM33" s="413"/>
      <c r="DN33" s="413"/>
      <c r="DO33" s="413"/>
      <c r="DP33" s="413"/>
      <c r="DQ33" s="414"/>
      <c r="DR33" s="413"/>
      <c r="DS33" s="413"/>
      <c r="DT33" s="413"/>
      <c r="DU33" s="413"/>
      <c r="DV33" s="413"/>
      <c r="DW33" s="413"/>
      <c r="DX33" s="413"/>
      <c r="DY33" s="413"/>
      <c r="DZ33" s="413"/>
      <c r="EA33" s="413"/>
      <c r="EB33" s="413"/>
      <c r="EC33" s="413"/>
      <c r="ED33" s="413"/>
      <c r="EE33" s="413"/>
      <c r="EF33" s="413"/>
      <c r="EG33" s="413"/>
      <c r="EH33" s="413"/>
      <c r="EI33" s="413"/>
      <c r="EJ33" s="413"/>
      <c r="EK33" s="413"/>
      <c r="EL33" s="413"/>
      <c r="EM33" s="452"/>
      <c r="EN33" s="413"/>
      <c r="EO33" s="453"/>
      <c r="EP33" s="413"/>
      <c r="EQ33" s="434"/>
      <c r="ER33" s="434"/>
      <c r="ES33" s="434"/>
      <c r="ET33" s="434"/>
      <c r="EU33" s="434"/>
      <c r="EV33" s="434"/>
      <c r="EW33" s="434"/>
      <c r="EX33" s="434"/>
      <c r="EY33" s="434"/>
      <c r="EZ33" s="434"/>
      <c r="FA33" s="434"/>
      <c r="FB33" s="434"/>
      <c r="FC33" s="399"/>
      <c r="FD33" s="399"/>
      <c r="FE33" s="399"/>
      <c r="FF33" s="399"/>
      <c r="FG33" s="415"/>
      <c r="FH33" s="415"/>
      <c r="FI33" s="415"/>
      <c r="FJ33" s="415"/>
      <c r="FK33" s="415"/>
      <c r="FL33" s="415"/>
      <c r="FM33" s="415"/>
    </row>
    <row r="34" spans="1:169" hidden="1">
      <c r="A34" s="462" t="s">
        <v>15</v>
      </c>
      <c r="B34" s="181" t="s">
        <v>1308</v>
      </c>
      <c r="C34" s="412"/>
      <c r="D34" s="412"/>
      <c r="E34" s="412"/>
      <c r="F34" s="412"/>
      <c r="G34" s="412"/>
      <c r="H34" s="412"/>
      <c r="I34" s="412"/>
      <c r="J34" s="412"/>
      <c r="K34" s="412"/>
      <c r="L34" s="412"/>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3"/>
      <c r="AM34" s="413"/>
      <c r="AN34" s="413"/>
      <c r="AO34" s="414"/>
      <c r="AP34" s="413"/>
      <c r="AQ34" s="413"/>
      <c r="AR34" s="413"/>
      <c r="AS34" s="413"/>
      <c r="AT34" s="413"/>
      <c r="AU34" s="413"/>
      <c r="AV34" s="413"/>
      <c r="AW34" s="413"/>
      <c r="AX34" s="413"/>
      <c r="AY34" s="414"/>
      <c r="AZ34" s="413"/>
      <c r="BA34" s="413"/>
      <c r="BB34" s="413"/>
      <c r="BC34" s="413"/>
      <c r="BD34" s="413"/>
      <c r="BE34" s="413"/>
      <c r="BF34" s="413"/>
      <c r="BG34" s="413"/>
      <c r="BH34" s="413"/>
      <c r="BI34" s="414"/>
      <c r="BJ34" s="413"/>
      <c r="BK34" s="413"/>
      <c r="BL34" s="413"/>
      <c r="BM34" s="413"/>
      <c r="BN34" s="413"/>
      <c r="BO34" s="413"/>
      <c r="BP34" s="413"/>
      <c r="BQ34" s="413"/>
      <c r="BR34" s="413"/>
      <c r="BS34" s="413"/>
      <c r="BT34" s="413"/>
      <c r="BU34" s="413"/>
      <c r="BV34" s="413"/>
      <c r="BW34" s="413"/>
      <c r="BX34" s="413"/>
      <c r="BY34" s="413"/>
      <c r="BZ34" s="413"/>
      <c r="CA34" s="413"/>
      <c r="CB34" s="413"/>
      <c r="CC34" s="413"/>
      <c r="CD34" s="413"/>
      <c r="CE34" s="413"/>
      <c r="CF34" s="413"/>
      <c r="CG34" s="413"/>
      <c r="CH34" s="413"/>
      <c r="CI34" s="413"/>
      <c r="CJ34" s="413"/>
      <c r="CK34" s="413"/>
      <c r="CL34" s="413"/>
      <c r="CM34" s="414"/>
      <c r="CN34" s="413"/>
      <c r="CO34" s="413"/>
      <c r="CP34" s="413"/>
      <c r="CQ34" s="413"/>
      <c r="CR34" s="413"/>
      <c r="CS34" s="413"/>
      <c r="CT34" s="413"/>
      <c r="CU34" s="413"/>
      <c r="CV34" s="413"/>
      <c r="CW34" s="414"/>
      <c r="CX34" s="413"/>
      <c r="CY34" s="413"/>
      <c r="CZ34" s="413"/>
      <c r="DA34" s="413"/>
      <c r="DB34" s="413"/>
      <c r="DC34" s="413"/>
      <c r="DD34" s="413"/>
      <c r="DE34" s="413"/>
      <c r="DF34" s="413"/>
      <c r="DG34" s="414"/>
      <c r="DH34" s="413"/>
      <c r="DI34" s="413"/>
      <c r="DJ34" s="413"/>
      <c r="DK34" s="413"/>
      <c r="DL34" s="413"/>
      <c r="DM34" s="413"/>
      <c r="DN34" s="413"/>
      <c r="DO34" s="413"/>
      <c r="DP34" s="413"/>
      <c r="DQ34" s="414"/>
      <c r="DR34" s="413"/>
      <c r="DS34" s="413"/>
      <c r="DT34" s="413"/>
      <c r="DU34" s="413"/>
      <c r="DV34" s="413"/>
      <c r="DW34" s="413"/>
      <c r="DX34" s="413"/>
      <c r="DY34" s="413"/>
      <c r="DZ34" s="413"/>
      <c r="EA34" s="413"/>
      <c r="EB34" s="413"/>
      <c r="EC34" s="413"/>
      <c r="ED34" s="413"/>
      <c r="EE34" s="413"/>
      <c r="EF34" s="413"/>
      <c r="EG34" s="413"/>
      <c r="EH34" s="413"/>
      <c r="EI34" s="413"/>
      <c r="EJ34" s="413"/>
      <c r="EK34" s="413"/>
      <c r="EL34" s="413"/>
      <c r="EM34" s="452"/>
      <c r="EN34" s="413"/>
      <c r="EO34" s="453"/>
      <c r="EP34" s="413"/>
      <c r="EQ34" s="434"/>
      <c r="ER34" s="434"/>
      <c r="ES34" s="434"/>
      <c r="ET34" s="434"/>
      <c r="EU34" s="434"/>
      <c r="EV34" s="434"/>
      <c r="EW34" s="434"/>
      <c r="EX34" s="434"/>
      <c r="EY34" s="434"/>
      <c r="EZ34" s="434"/>
      <c r="FA34" s="434"/>
      <c r="FB34" s="434"/>
      <c r="FC34" s="399"/>
      <c r="FD34" s="399"/>
      <c r="FE34" s="399"/>
      <c r="FF34" s="399"/>
      <c r="FG34" s="415"/>
      <c r="FH34" s="415"/>
      <c r="FI34" s="415"/>
      <c r="FJ34" s="415"/>
      <c r="FK34" s="415"/>
      <c r="FL34" s="415"/>
      <c r="FM34" s="415"/>
    </row>
    <row r="35" spans="1:169" hidden="1">
      <c r="A35" s="410" t="s">
        <v>82</v>
      </c>
      <c r="B35" s="459" t="s">
        <v>1309</v>
      </c>
      <c r="C35" s="412"/>
      <c r="D35" s="412"/>
      <c r="E35" s="412"/>
      <c r="F35" s="412"/>
      <c r="G35" s="412"/>
      <c r="H35" s="412"/>
      <c r="I35" s="412"/>
      <c r="J35" s="412"/>
      <c r="K35" s="412"/>
      <c r="L35" s="412"/>
      <c r="M35" s="413"/>
      <c r="N35" s="413"/>
      <c r="O35" s="413"/>
      <c r="P35" s="413"/>
      <c r="Q35" s="413"/>
      <c r="R35" s="413"/>
      <c r="S35" s="413"/>
      <c r="T35" s="413"/>
      <c r="U35" s="413"/>
      <c r="V35" s="413"/>
      <c r="W35" s="413"/>
      <c r="X35" s="413"/>
      <c r="Y35" s="413"/>
      <c r="Z35" s="413"/>
      <c r="AA35" s="413"/>
      <c r="AB35" s="413"/>
      <c r="AC35" s="413"/>
      <c r="AD35" s="413"/>
      <c r="AE35" s="413"/>
      <c r="AF35" s="413"/>
      <c r="AG35" s="413"/>
      <c r="AH35" s="413"/>
      <c r="AI35" s="413"/>
      <c r="AJ35" s="413"/>
      <c r="AK35" s="413"/>
      <c r="AL35" s="413"/>
      <c r="AM35" s="413"/>
      <c r="AN35" s="413"/>
      <c r="AO35" s="414"/>
      <c r="AP35" s="413"/>
      <c r="AQ35" s="413"/>
      <c r="AR35" s="413"/>
      <c r="AS35" s="413"/>
      <c r="AT35" s="413"/>
      <c r="AU35" s="413"/>
      <c r="AV35" s="413"/>
      <c r="AW35" s="413"/>
      <c r="AX35" s="413"/>
      <c r="AY35" s="414"/>
      <c r="AZ35" s="413"/>
      <c r="BA35" s="413"/>
      <c r="BB35" s="413"/>
      <c r="BC35" s="413"/>
      <c r="BD35" s="413"/>
      <c r="BE35" s="413"/>
      <c r="BF35" s="413"/>
      <c r="BG35" s="413"/>
      <c r="BH35" s="413"/>
      <c r="BI35" s="414"/>
      <c r="BJ35" s="413"/>
      <c r="BK35" s="413"/>
      <c r="BL35" s="413"/>
      <c r="BM35" s="413"/>
      <c r="BN35" s="413"/>
      <c r="BO35" s="413"/>
      <c r="BP35" s="413"/>
      <c r="BQ35" s="413"/>
      <c r="BR35" s="413"/>
      <c r="BS35" s="413"/>
      <c r="BT35" s="413"/>
      <c r="BU35" s="413"/>
      <c r="BV35" s="413"/>
      <c r="BW35" s="413"/>
      <c r="BX35" s="413"/>
      <c r="BY35" s="413"/>
      <c r="BZ35" s="413"/>
      <c r="CA35" s="413"/>
      <c r="CB35" s="413"/>
      <c r="CC35" s="413"/>
      <c r="CD35" s="413"/>
      <c r="CE35" s="413"/>
      <c r="CF35" s="413"/>
      <c r="CG35" s="413"/>
      <c r="CH35" s="413"/>
      <c r="CI35" s="413"/>
      <c r="CJ35" s="413"/>
      <c r="CK35" s="413"/>
      <c r="CL35" s="413"/>
      <c r="CM35" s="414"/>
      <c r="CN35" s="413"/>
      <c r="CO35" s="413"/>
      <c r="CP35" s="413"/>
      <c r="CQ35" s="413"/>
      <c r="CR35" s="413"/>
      <c r="CS35" s="413"/>
      <c r="CT35" s="413"/>
      <c r="CU35" s="413"/>
      <c r="CV35" s="413"/>
      <c r="CW35" s="414"/>
      <c r="CX35" s="413"/>
      <c r="CY35" s="413"/>
      <c r="CZ35" s="413"/>
      <c r="DA35" s="413"/>
      <c r="DB35" s="413"/>
      <c r="DC35" s="413"/>
      <c r="DD35" s="413"/>
      <c r="DE35" s="413"/>
      <c r="DF35" s="413"/>
      <c r="DG35" s="414"/>
      <c r="DH35" s="413"/>
      <c r="DI35" s="413"/>
      <c r="DJ35" s="413"/>
      <c r="DK35" s="413"/>
      <c r="DL35" s="413"/>
      <c r="DM35" s="413"/>
      <c r="DN35" s="413"/>
      <c r="DO35" s="413"/>
      <c r="DP35" s="413"/>
      <c r="DQ35" s="414"/>
      <c r="DR35" s="413"/>
      <c r="DS35" s="413"/>
      <c r="DT35" s="413"/>
      <c r="DU35" s="413"/>
      <c r="DV35" s="413"/>
      <c r="DW35" s="413"/>
      <c r="DX35" s="413"/>
      <c r="DY35" s="413"/>
      <c r="DZ35" s="413"/>
      <c r="EA35" s="413"/>
      <c r="EB35" s="413"/>
      <c r="EC35" s="413"/>
      <c r="ED35" s="413"/>
      <c r="EE35" s="413"/>
      <c r="EF35" s="413"/>
      <c r="EG35" s="413"/>
      <c r="EH35" s="413"/>
      <c r="EI35" s="413"/>
      <c r="EJ35" s="413"/>
      <c r="EK35" s="413"/>
      <c r="EL35" s="413"/>
      <c r="EM35" s="452"/>
      <c r="EN35" s="413"/>
      <c r="EO35" s="453"/>
      <c r="EP35" s="413"/>
      <c r="EQ35" s="434"/>
      <c r="ER35" s="434"/>
      <c r="ES35" s="434"/>
      <c r="ET35" s="434"/>
      <c r="EU35" s="434"/>
      <c r="EV35" s="434"/>
      <c r="EW35" s="434"/>
      <c r="EX35" s="434"/>
      <c r="EY35" s="434"/>
      <c r="EZ35" s="434"/>
      <c r="FA35" s="434"/>
      <c r="FB35" s="434"/>
      <c r="FC35" s="399"/>
      <c r="FD35" s="399"/>
      <c r="FE35" s="399"/>
      <c r="FF35" s="399"/>
      <c r="FG35" s="415"/>
      <c r="FH35" s="415"/>
      <c r="FI35" s="415"/>
      <c r="FJ35" s="415"/>
      <c r="FK35" s="415"/>
      <c r="FL35" s="415"/>
      <c r="FM35" s="415"/>
    </row>
    <row r="36" spans="1:169" hidden="1">
      <c r="A36" s="410" t="s">
        <v>83</v>
      </c>
      <c r="B36" s="459" t="s">
        <v>1310</v>
      </c>
      <c r="C36" s="412"/>
      <c r="D36" s="412"/>
      <c r="E36" s="412"/>
      <c r="F36" s="412"/>
      <c r="G36" s="412"/>
      <c r="H36" s="412"/>
      <c r="I36" s="412"/>
      <c r="J36" s="412"/>
      <c r="K36" s="412"/>
      <c r="L36" s="412"/>
      <c r="M36" s="413"/>
      <c r="N36" s="413"/>
      <c r="O36" s="413"/>
      <c r="P36" s="413"/>
      <c r="Q36" s="413"/>
      <c r="R36" s="413"/>
      <c r="S36" s="413"/>
      <c r="T36" s="413"/>
      <c r="U36" s="413"/>
      <c r="V36" s="413"/>
      <c r="W36" s="413"/>
      <c r="X36" s="413"/>
      <c r="Y36" s="413"/>
      <c r="Z36" s="413"/>
      <c r="AA36" s="413"/>
      <c r="AB36" s="413"/>
      <c r="AC36" s="413"/>
      <c r="AD36" s="413"/>
      <c r="AE36" s="413"/>
      <c r="AF36" s="413"/>
      <c r="AG36" s="413"/>
      <c r="AH36" s="413"/>
      <c r="AI36" s="413"/>
      <c r="AJ36" s="413"/>
      <c r="AK36" s="413"/>
      <c r="AL36" s="413"/>
      <c r="AM36" s="413"/>
      <c r="AN36" s="413"/>
      <c r="AO36" s="414"/>
      <c r="AP36" s="413"/>
      <c r="AQ36" s="413"/>
      <c r="AR36" s="413"/>
      <c r="AS36" s="413"/>
      <c r="AT36" s="413"/>
      <c r="AU36" s="413"/>
      <c r="AV36" s="413"/>
      <c r="AW36" s="413"/>
      <c r="AX36" s="413"/>
      <c r="AY36" s="414"/>
      <c r="AZ36" s="413"/>
      <c r="BA36" s="413"/>
      <c r="BB36" s="413"/>
      <c r="BC36" s="413"/>
      <c r="BD36" s="413"/>
      <c r="BE36" s="413"/>
      <c r="BF36" s="413"/>
      <c r="BG36" s="413"/>
      <c r="BH36" s="413"/>
      <c r="BI36" s="414"/>
      <c r="BJ36" s="413"/>
      <c r="BK36" s="413"/>
      <c r="BL36" s="413"/>
      <c r="BM36" s="413"/>
      <c r="BN36" s="413"/>
      <c r="BO36" s="413"/>
      <c r="BP36" s="413"/>
      <c r="BQ36" s="413"/>
      <c r="BR36" s="413"/>
      <c r="BS36" s="413"/>
      <c r="BT36" s="413"/>
      <c r="BU36" s="413"/>
      <c r="BV36" s="413"/>
      <c r="BW36" s="413"/>
      <c r="BX36" s="413"/>
      <c r="BY36" s="413"/>
      <c r="BZ36" s="413"/>
      <c r="CA36" s="413"/>
      <c r="CB36" s="413"/>
      <c r="CC36" s="413"/>
      <c r="CD36" s="413"/>
      <c r="CE36" s="413"/>
      <c r="CF36" s="413"/>
      <c r="CG36" s="413"/>
      <c r="CH36" s="413"/>
      <c r="CI36" s="413"/>
      <c r="CJ36" s="413"/>
      <c r="CK36" s="413"/>
      <c r="CL36" s="413"/>
      <c r="CM36" s="414"/>
      <c r="CN36" s="413"/>
      <c r="CO36" s="413"/>
      <c r="CP36" s="413"/>
      <c r="CQ36" s="413"/>
      <c r="CR36" s="413"/>
      <c r="CS36" s="413"/>
      <c r="CT36" s="413"/>
      <c r="CU36" s="413"/>
      <c r="CV36" s="413"/>
      <c r="CW36" s="414"/>
      <c r="CX36" s="413"/>
      <c r="CY36" s="413"/>
      <c r="CZ36" s="413"/>
      <c r="DA36" s="413"/>
      <c r="DB36" s="413"/>
      <c r="DC36" s="413"/>
      <c r="DD36" s="413"/>
      <c r="DE36" s="413"/>
      <c r="DF36" s="413"/>
      <c r="DG36" s="414"/>
      <c r="DH36" s="413"/>
      <c r="DI36" s="413"/>
      <c r="DJ36" s="413"/>
      <c r="DK36" s="413"/>
      <c r="DL36" s="413"/>
      <c r="DM36" s="413"/>
      <c r="DN36" s="413"/>
      <c r="DO36" s="413"/>
      <c r="DP36" s="413"/>
      <c r="DQ36" s="414"/>
      <c r="DR36" s="413"/>
      <c r="DS36" s="413"/>
      <c r="DT36" s="413"/>
      <c r="DU36" s="413"/>
      <c r="DV36" s="413"/>
      <c r="DW36" s="413"/>
      <c r="DX36" s="413"/>
      <c r="DY36" s="413"/>
      <c r="DZ36" s="413"/>
      <c r="EA36" s="413"/>
      <c r="EB36" s="413"/>
      <c r="EC36" s="413"/>
      <c r="ED36" s="413"/>
      <c r="EE36" s="413"/>
      <c r="EF36" s="413"/>
      <c r="EG36" s="413"/>
      <c r="EH36" s="413"/>
      <c r="EI36" s="413"/>
      <c r="EJ36" s="413"/>
      <c r="EK36" s="413"/>
      <c r="EL36" s="413"/>
      <c r="EM36" s="452"/>
      <c r="EN36" s="413"/>
      <c r="EO36" s="453"/>
      <c r="EP36" s="413"/>
      <c r="EQ36" s="434"/>
      <c r="ER36" s="434"/>
      <c r="ES36" s="434"/>
      <c r="ET36" s="434"/>
      <c r="EU36" s="434"/>
      <c r="EV36" s="434"/>
      <c r="EW36" s="434"/>
      <c r="EX36" s="434"/>
      <c r="EY36" s="434"/>
      <c r="EZ36" s="434"/>
      <c r="FA36" s="434"/>
      <c r="FB36" s="434"/>
      <c r="FC36" s="399"/>
      <c r="FD36" s="399"/>
      <c r="FE36" s="399"/>
      <c r="FF36" s="399"/>
      <c r="FG36" s="415"/>
      <c r="FH36" s="415"/>
      <c r="FI36" s="415"/>
      <c r="FJ36" s="415"/>
      <c r="FK36" s="415"/>
      <c r="FL36" s="415"/>
      <c r="FM36" s="415"/>
    </row>
    <row r="37" spans="1:169" hidden="1">
      <c r="A37" s="410" t="s">
        <v>86</v>
      </c>
      <c r="B37" s="459" t="s">
        <v>1311</v>
      </c>
      <c r="C37" s="412"/>
      <c r="D37" s="412"/>
      <c r="E37" s="412"/>
      <c r="F37" s="412"/>
      <c r="G37" s="412"/>
      <c r="H37" s="412"/>
      <c r="I37" s="412"/>
      <c r="J37" s="412"/>
      <c r="K37" s="412"/>
      <c r="L37" s="412"/>
      <c r="M37" s="413"/>
      <c r="N37" s="413"/>
      <c r="O37" s="413"/>
      <c r="P37" s="413"/>
      <c r="Q37" s="413"/>
      <c r="R37" s="413"/>
      <c r="S37" s="413"/>
      <c r="T37" s="413"/>
      <c r="U37" s="413"/>
      <c r="V37" s="413"/>
      <c r="W37" s="413"/>
      <c r="X37" s="413"/>
      <c r="Y37" s="413"/>
      <c r="Z37" s="413"/>
      <c r="AA37" s="413"/>
      <c r="AB37" s="413"/>
      <c r="AC37" s="413"/>
      <c r="AD37" s="413"/>
      <c r="AE37" s="413"/>
      <c r="AF37" s="413"/>
      <c r="AG37" s="413"/>
      <c r="AH37" s="413"/>
      <c r="AI37" s="413"/>
      <c r="AJ37" s="413"/>
      <c r="AK37" s="413"/>
      <c r="AL37" s="413"/>
      <c r="AM37" s="413"/>
      <c r="AN37" s="413"/>
      <c r="AO37" s="414"/>
      <c r="AP37" s="413"/>
      <c r="AQ37" s="413"/>
      <c r="AR37" s="413"/>
      <c r="AS37" s="413"/>
      <c r="AT37" s="413"/>
      <c r="AU37" s="413"/>
      <c r="AV37" s="413"/>
      <c r="AW37" s="413"/>
      <c r="AX37" s="413"/>
      <c r="AY37" s="414"/>
      <c r="AZ37" s="413"/>
      <c r="BA37" s="413"/>
      <c r="BB37" s="413"/>
      <c r="BC37" s="413"/>
      <c r="BD37" s="413"/>
      <c r="BE37" s="413"/>
      <c r="BF37" s="413"/>
      <c r="BG37" s="413"/>
      <c r="BH37" s="413"/>
      <c r="BI37" s="414"/>
      <c r="BJ37" s="413"/>
      <c r="BK37" s="413"/>
      <c r="BL37" s="413"/>
      <c r="BM37" s="413"/>
      <c r="BN37" s="413"/>
      <c r="BO37" s="413"/>
      <c r="BP37" s="413"/>
      <c r="BQ37" s="413"/>
      <c r="BR37" s="413"/>
      <c r="BS37" s="413"/>
      <c r="BT37" s="413"/>
      <c r="BU37" s="413"/>
      <c r="BV37" s="413"/>
      <c r="BW37" s="413"/>
      <c r="BX37" s="413"/>
      <c r="BY37" s="413"/>
      <c r="BZ37" s="413"/>
      <c r="CA37" s="413"/>
      <c r="CB37" s="413"/>
      <c r="CC37" s="413"/>
      <c r="CD37" s="413"/>
      <c r="CE37" s="413"/>
      <c r="CF37" s="413"/>
      <c r="CG37" s="413"/>
      <c r="CH37" s="413"/>
      <c r="CI37" s="413"/>
      <c r="CJ37" s="413"/>
      <c r="CK37" s="413"/>
      <c r="CL37" s="413"/>
      <c r="CM37" s="414"/>
      <c r="CN37" s="413"/>
      <c r="CO37" s="413"/>
      <c r="CP37" s="413"/>
      <c r="CQ37" s="413"/>
      <c r="CR37" s="413"/>
      <c r="CS37" s="413"/>
      <c r="CT37" s="413"/>
      <c r="CU37" s="413"/>
      <c r="CV37" s="413"/>
      <c r="CW37" s="414"/>
      <c r="CX37" s="413"/>
      <c r="CY37" s="413"/>
      <c r="CZ37" s="413"/>
      <c r="DA37" s="413"/>
      <c r="DB37" s="413"/>
      <c r="DC37" s="413"/>
      <c r="DD37" s="413"/>
      <c r="DE37" s="413"/>
      <c r="DF37" s="413"/>
      <c r="DG37" s="414"/>
      <c r="DH37" s="413"/>
      <c r="DI37" s="413"/>
      <c r="DJ37" s="413"/>
      <c r="DK37" s="413"/>
      <c r="DL37" s="413"/>
      <c r="DM37" s="413"/>
      <c r="DN37" s="413"/>
      <c r="DO37" s="413"/>
      <c r="DP37" s="413"/>
      <c r="DQ37" s="414"/>
      <c r="DR37" s="413"/>
      <c r="DS37" s="413"/>
      <c r="DT37" s="413"/>
      <c r="DU37" s="413"/>
      <c r="DV37" s="413"/>
      <c r="DW37" s="413"/>
      <c r="DX37" s="413"/>
      <c r="DY37" s="413"/>
      <c r="DZ37" s="413"/>
      <c r="EA37" s="413"/>
      <c r="EB37" s="413"/>
      <c r="EC37" s="413"/>
      <c r="ED37" s="413"/>
      <c r="EE37" s="413"/>
      <c r="EF37" s="413"/>
      <c r="EG37" s="413"/>
      <c r="EH37" s="413"/>
      <c r="EI37" s="413"/>
      <c r="EJ37" s="413"/>
      <c r="EK37" s="413"/>
      <c r="EL37" s="413"/>
      <c r="EM37" s="452"/>
      <c r="EN37" s="413"/>
      <c r="EO37" s="453"/>
      <c r="EP37" s="413"/>
      <c r="EQ37" s="434"/>
      <c r="ER37" s="434"/>
      <c r="ES37" s="434"/>
      <c r="ET37" s="434"/>
      <c r="EU37" s="434"/>
      <c r="EV37" s="434"/>
      <c r="EW37" s="434"/>
      <c r="EX37" s="434"/>
      <c r="EY37" s="434"/>
      <c r="EZ37" s="434"/>
      <c r="FA37" s="434"/>
      <c r="FB37" s="434"/>
      <c r="FC37" s="399"/>
      <c r="FD37" s="399"/>
      <c r="FE37" s="399"/>
      <c r="FF37" s="399"/>
      <c r="FG37" s="415"/>
      <c r="FH37" s="415"/>
      <c r="FI37" s="415"/>
      <c r="FJ37" s="415"/>
      <c r="FK37" s="415"/>
      <c r="FL37" s="415"/>
      <c r="FM37" s="415"/>
    </row>
    <row r="38" spans="1:169" hidden="1">
      <c r="A38" s="410" t="s">
        <v>217</v>
      </c>
      <c r="B38" s="459" t="s">
        <v>1312</v>
      </c>
      <c r="C38" s="412"/>
      <c r="D38" s="412"/>
      <c r="E38" s="412"/>
      <c r="F38" s="412"/>
      <c r="G38" s="412"/>
      <c r="H38" s="412"/>
      <c r="I38" s="412"/>
      <c r="J38" s="412"/>
      <c r="K38" s="412"/>
      <c r="L38" s="412"/>
      <c r="M38" s="413"/>
      <c r="N38" s="413"/>
      <c r="O38" s="413"/>
      <c r="P38" s="413"/>
      <c r="Q38" s="413"/>
      <c r="R38" s="413"/>
      <c r="S38" s="413"/>
      <c r="T38" s="413"/>
      <c r="U38" s="413"/>
      <c r="V38" s="413"/>
      <c r="W38" s="413"/>
      <c r="X38" s="413"/>
      <c r="Y38" s="413"/>
      <c r="Z38" s="413"/>
      <c r="AA38" s="413"/>
      <c r="AB38" s="413"/>
      <c r="AC38" s="413"/>
      <c r="AD38" s="413"/>
      <c r="AE38" s="413"/>
      <c r="AF38" s="413"/>
      <c r="AG38" s="413"/>
      <c r="AH38" s="413"/>
      <c r="AI38" s="413"/>
      <c r="AJ38" s="413"/>
      <c r="AK38" s="413"/>
      <c r="AL38" s="413"/>
      <c r="AM38" s="413"/>
      <c r="AN38" s="413"/>
      <c r="AO38" s="414"/>
      <c r="AP38" s="413"/>
      <c r="AQ38" s="413"/>
      <c r="AR38" s="413"/>
      <c r="AS38" s="413"/>
      <c r="AT38" s="413"/>
      <c r="AU38" s="413"/>
      <c r="AV38" s="413"/>
      <c r="AW38" s="413"/>
      <c r="AX38" s="413"/>
      <c r="AY38" s="414"/>
      <c r="AZ38" s="413"/>
      <c r="BA38" s="413"/>
      <c r="BB38" s="413"/>
      <c r="BC38" s="413"/>
      <c r="BD38" s="413"/>
      <c r="BE38" s="413"/>
      <c r="BF38" s="413"/>
      <c r="BG38" s="413"/>
      <c r="BH38" s="413"/>
      <c r="BI38" s="414"/>
      <c r="BJ38" s="413"/>
      <c r="BK38" s="413"/>
      <c r="BL38" s="413"/>
      <c r="BM38" s="413"/>
      <c r="BN38" s="413"/>
      <c r="BO38" s="413"/>
      <c r="BP38" s="413"/>
      <c r="BQ38" s="413"/>
      <c r="BR38" s="413"/>
      <c r="BS38" s="413"/>
      <c r="BT38" s="413"/>
      <c r="BU38" s="413"/>
      <c r="BV38" s="413"/>
      <c r="BW38" s="413"/>
      <c r="BX38" s="413"/>
      <c r="BY38" s="413"/>
      <c r="BZ38" s="413"/>
      <c r="CA38" s="413"/>
      <c r="CB38" s="413"/>
      <c r="CC38" s="413"/>
      <c r="CD38" s="413"/>
      <c r="CE38" s="413"/>
      <c r="CF38" s="413"/>
      <c r="CG38" s="413"/>
      <c r="CH38" s="413"/>
      <c r="CI38" s="413"/>
      <c r="CJ38" s="413"/>
      <c r="CK38" s="413"/>
      <c r="CL38" s="413"/>
      <c r="CM38" s="414"/>
      <c r="CN38" s="413"/>
      <c r="CO38" s="413"/>
      <c r="CP38" s="413"/>
      <c r="CQ38" s="413"/>
      <c r="CR38" s="413"/>
      <c r="CS38" s="413"/>
      <c r="CT38" s="413"/>
      <c r="CU38" s="413"/>
      <c r="CV38" s="413"/>
      <c r="CW38" s="414"/>
      <c r="CX38" s="413"/>
      <c r="CY38" s="413"/>
      <c r="CZ38" s="413"/>
      <c r="DA38" s="413"/>
      <c r="DB38" s="413"/>
      <c r="DC38" s="413"/>
      <c r="DD38" s="413"/>
      <c r="DE38" s="413"/>
      <c r="DF38" s="413"/>
      <c r="DG38" s="414"/>
      <c r="DH38" s="413"/>
      <c r="DI38" s="413"/>
      <c r="DJ38" s="413"/>
      <c r="DK38" s="413"/>
      <c r="DL38" s="413"/>
      <c r="DM38" s="413"/>
      <c r="DN38" s="413"/>
      <c r="DO38" s="413"/>
      <c r="DP38" s="413"/>
      <c r="DQ38" s="414"/>
      <c r="DR38" s="413"/>
      <c r="DS38" s="413"/>
      <c r="DT38" s="413"/>
      <c r="DU38" s="413"/>
      <c r="DV38" s="413"/>
      <c r="DW38" s="413"/>
      <c r="DX38" s="413"/>
      <c r="DY38" s="413"/>
      <c r="DZ38" s="413"/>
      <c r="EA38" s="413"/>
      <c r="EB38" s="413"/>
      <c r="EC38" s="413"/>
      <c r="ED38" s="413"/>
      <c r="EE38" s="413"/>
      <c r="EF38" s="413"/>
      <c r="EG38" s="413"/>
      <c r="EH38" s="413"/>
      <c r="EI38" s="413"/>
      <c r="EJ38" s="413"/>
      <c r="EK38" s="413"/>
      <c r="EL38" s="413"/>
      <c r="EM38" s="452"/>
      <c r="EN38" s="413"/>
      <c r="EO38" s="453"/>
      <c r="EP38" s="413"/>
      <c r="EQ38" s="434"/>
      <c r="ER38" s="434"/>
      <c r="ES38" s="434"/>
      <c r="ET38" s="434"/>
      <c r="EU38" s="434"/>
      <c r="EV38" s="434"/>
      <c r="EW38" s="434"/>
      <c r="EX38" s="434"/>
      <c r="EY38" s="434"/>
      <c r="EZ38" s="434"/>
      <c r="FA38" s="434"/>
      <c r="FB38" s="434"/>
      <c r="FC38" s="399"/>
      <c r="FD38" s="399"/>
      <c r="FE38" s="399"/>
      <c r="FF38" s="399"/>
      <c r="FG38" s="415"/>
      <c r="FH38" s="415"/>
      <c r="FI38" s="415"/>
      <c r="FJ38" s="415"/>
      <c r="FK38" s="415"/>
      <c r="FL38" s="415"/>
      <c r="FM38" s="415"/>
    </row>
    <row r="39" spans="1:169" hidden="1">
      <c r="A39" s="410" t="s">
        <v>218</v>
      </c>
      <c r="B39" s="459" t="s">
        <v>1313</v>
      </c>
      <c r="C39" s="412"/>
      <c r="D39" s="412"/>
      <c r="E39" s="412"/>
      <c r="F39" s="412"/>
      <c r="G39" s="412"/>
      <c r="H39" s="412"/>
      <c r="I39" s="412"/>
      <c r="J39" s="412"/>
      <c r="K39" s="412"/>
      <c r="L39" s="412"/>
      <c r="M39" s="413"/>
      <c r="N39" s="413"/>
      <c r="O39" s="413"/>
      <c r="P39" s="413"/>
      <c r="Q39" s="413"/>
      <c r="R39" s="413"/>
      <c r="S39" s="413"/>
      <c r="T39" s="413"/>
      <c r="U39" s="413"/>
      <c r="V39" s="413"/>
      <c r="W39" s="413"/>
      <c r="X39" s="413"/>
      <c r="Y39" s="413"/>
      <c r="Z39" s="413"/>
      <c r="AA39" s="413"/>
      <c r="AB39" s="413"/>
      <c r="AC39" s="413"/>
      <c r="AD39" s="413"/>
      <c r="AE39" s="413"/>
      <c r="AF39" s="413"/>
      <c r="AG39" s="413"/>
      <c r="AH39" s="413"/>
      <c r="AI39" s="413"/>
      <c r="AJ39" s="413"/>
      <c r="AK39" s="413"/>
      <c r="AL39" s="413"/>
      <c r="AM39" s="413"/>
      <c r="AN39" s="413"/>
      <c r="AO39" s="414"/>
      <c r="AP39" s="413"/>
      <c r="AQ39" s="413"/>
      <c r="AR39" s="413"/>
      <c r="AS39" s="413"/>
      <c r="AT39" s="413"/>
      <c r="AU39" s="413"/>
      <c r="AV39" s="413"/>
      <c r="AW39" s="413"/>
      <c r="AX39" s="413"/>
      <c r="AY39" s="414"/>
      <c r="AZ39" s="413"/>
      <c r="BA39" s="413"/>
      <c r="BB39" s="413"/>
      <c r="BC39" s="413"/>
      <c r="BD39" s="413"/>
      <c r="BE39" s="413"/>
      <c r="BF39" s="413"/>
      <c r="BG39" s="413"/>
      <c r="BH39" s="413"/>
      <c r="BI39" s="414"/>
      <c r="BJ39" s="413"/>
      <c r="BK39" s="413"/>
      <c r="BL39" s="413"/>
      <c r="BM39" s="413"/>
      <c r="BN39" s="413"/>
      <c r="BO39" s="413"/>
      <c r="BP39" s="413"/>
      <c r="BQ39" s="413"/>
      <c r="BR39" s="413"/>
      <c r="BS39" s="413"/>
      <c r="BT39" s="413"/>
      <c r="BU39" s="413"/>
      <c r="BV39" s="413"/>
      <c r="BW39" s="413"/>
      <c r="BX39" s="413"/>
      <c r="BY39" s="413"/>
      <c r="BZ39" s="413"/>
      <c r="CA39" s="413"/>
      <c r="CB39" s="413"/>
      <c r="CC39" s="413"/>
      <c r="CD39" s="413"/>
      <c r="CE39" s="413"/>
      <c r="CF39" s="413"/>
      <c r="CG39" s="413"/>
      <c r="CH39" s="413"/>
      <c r="CI39" s="413"/>
      <c r="CJ39" s="413"/>
      <c r="CK39" s="413"/>
      <c r="CL39" s="413"/>
      <c r="CM39" s="414"/>
      <c r="CN39" s="413"/>
      <c r="CO39" s="413"/>
      <c r="CP39" s="413"/>
      <c r="CQ39" s="413"/>
      <c r="CR39" s="413"/>
      <c r="CS39" s="413"/>
      <c r="CT39" s="413"/>
      <c r="CU39" s="413"/>
      <c r="CV39" s="413"/>
      <c r="CW39" s="414"/>
      <c r="CX39" s="413"/>
      <c r="CY39" s="413"/>
      <c r="CZ39" s="413"/>
      <c r="DA39" s="413"/>
      <c r="DB39" s="413"/>
      <c r="DC39" s="413"/>
      <c r="DD39" s="413"/>
      <c r="DE39" s="413"/>
      <c r="DF39" s="413"/>
      <c r="DG39" s="414"/>
      <c r="DH39" s="413"/>
      <c r="DI39" s="413"/>
      <c r="DJ39" s="413"/>
      <c r="DK39" s="413"/>
      <c r="DL39" s="413"/>
      <c r="DM39" s="413"/>
      <c r="DN39" s="413"/>
      <c r="DO39" s="413"/>
      <c r="DP39" s="413"/>
      <c r="DQ39" s="414"/>
      <c r="DR39" s="413"/>
      <c r="DS39" s="413"/>
      <c r="DT39" s="413"/>
      <c r="DU39" s="413"/>
      <c r="DV39" s="413"/>
      <c r="DW39" s="413"/>
      <c r="DX39" s="413"/>
      <c r="DY39" s="413"/>
      <c r="DZ39" s="413"/>
      <c r="EA39" s="413"/>
      <c r="EB39" s="413"/>
      <c r="EC39" s="413"/>
      <c r="ED39" s="413"/>
      <c r="EE39" s="413"/>
      <c r="EF39" s="413"/>
      <c r="EG39" s="413"/>
      <c r="EH39" s="413"/>
      <c r="EI39" s="413"/>
      <c r="EJ39" s="413"/>
      <c r="EK39" s="413"/>
      <c r="EL39" s="413"/>
      <c r="EM39" s="452"/>
      <c r="EN39" s="413"/>
      <c r="EO39" s="453"/>
      <c r="EP39" s="413"/>
      <c r="EQ39" s="434"/>
      <c r="ER39" s="434"/>
      <c r="ES39" s="434"/>
      <c r="ET39" s="434"/>
      <c r="EU39" s="434"/>
      <c r="EV39" s="434"/>
      <c r="EW39" s="434"/>
      <c r="EX39" s="434"/>
      <c r="EY39" s="434"/>
      <c r="EZ39" s="434"/>
      <c r="FA39" s="434"/>
      <c r="FB39" s="434"/>
      <c r="FC39" s="399"/>
      <c r="FD39" s="399"/>
      <c r="FE39" s="399"/>
      <c r="FF39" s="399"/>
      <c r="FG39" s="415"/>
      <c r="FH39" s="415"/>
      <c r="FI39" s="415"/>
      <c r="FJ39" s="415"/>
      <c r="FK39" s="415"/>
      <c r="FL39" s="415"/>
      <c r="FM39" s="415"/>
    </row>
    <row r="40" spans="1:169" hidden="1">
      <c r="A40" s="410" t="s">
        <v>1297</v>
      </c>
      <c r="B40" s="459" t="s">
        <v>1314</v>
      </c>
      <c r="C40" s="412"/>
      <c r="D40" s="412"/>
      <c r="E40" s="412"/>
      <c r="F40" s="412"/>
      <c r="G40" s="412"/>
      <c r="H40" s="412"/>
      <c r="I40" s="412"/>
      <c r="J40" s="412"/>
      <c r="K40" s="412"/>
      <c r="L40" s="412"/>
      <c r="M40" s="413"/>
      <c r="N40" s="413"/>
      <c r="O40" s="413"/>
      <c r="P40" s="413"/>
      <c r="Q40" s="413"/>
      <c r="R40" s="413"/>
      <c r="S40" s="413"/>
      <c r="T40" s="413"/>
      <c r="U40" s="413"/>
      <c r="V40" s="413"/>
      <c r="W40" s="413"/>
      <c r="X40" s="413"/>
      <c r="Y40" s="413"/>
      <c r="Z40" s="413"/>
      <c r="AA40" s="413"/>
      <c r="AB40" s="413"/>
      <c r="AC40" s="413"/>
      <c r="AD40" s="413"/>
      <c r="AE40" s="413"/>
      <c r="AF40" s="413"/>
      <c r="AG40" s="413"/>
      <c r="AH40" s="413"/>
      <c r="AI40" s="413"/>
      <c r="AJ40" s="413"/>
      <c r="AK40" s="413"/>
      <c r="AL40" s="413"/>
      <c r="AM40" s="413"/>
      <c r="AN40" s="413"/>
      <c r="AO40" s="414"/>
      <c r="AP40" s="413"/>
      <c r="AQ40" s="413"/>
      <c r="AR40" s="413"/>
      <c r="AS40" s="413"/>
      <c r="AT40" s="413"/>
      <c r="AU40" s="413"/>
      <c r="AV40" s="413"/>
      <c r="AW40" s="413"/>
      <c r="AX40" s="413"/>
      <c r="AY40" s="414"/>
      <c r="AZ40" s="413"/>
      <c r="BA40" s="413"/>
      <c r="BB40" s="413"/>
      <c r="BC40" s="413"/>
      <c r="BD40" s="413"/>
      <c r="BE40" s="413"/>
      <c r="BF40" s="413"/>
      <c r="BG40" s="413"/>
      <c r="BH40" s="413"/>
      <c r="BI40" s="414"/>
      <c r="BJ40" s="413"/>
      <c r="BK40" s="413"/>
      <c r="BL40" s="413"/>
      <c r="BM40" s="413"/>
      <c r="BN40" s="413"/>
      <c r="BO40" s="413"/>
      <c r="BP40" s="413"/>
      <c r="BQ40" s="413"/>
      <c r="BR40" s="413"/>
      <c r="BS40" s="413"/>
      <c r="BT40" s="413"/>
      <c r="BU40" s="413"/>
      <c r="BV40" s="413"/>
      <c r="BW40" s="413"/>
      <c r="BX40" s="413"/>
      <c r="BY40" s="413"/>
      <c r="BZ40" s="413"/>
      <c r="CA40" s="413"/>
      <c r="CB40" s="413"/>
      <c r="CC40" s="413"/>
      <c r="CD40" s="413"/>
      <c r="CE40" s="413"/>
      <c r="CF40" s="413"/>
      <c r="CG40" s="413"/>
      <c r="CH40" s="413"/>
      <c r="CI40" s="413"/>
      <c r="CJ40" s="413"/>
      <c r="CK40" s="413"/>
      <c r="CL40" s="413"/>
      <c r="CM40" s="414"/>
      <c r="CN40" s="413"/>
      <c r="CO40" s="413"/>
      <c r="CP40" s="413"/>
      <c r="CQ40" s="413"/>
      <c r="CR40" s="413"/>
      <c r="CS40" s="413"/>
      <c r="CT40" s="413"/>
      <c r="CU40" s="413"/>
      <c r="CV40" s="413"/>
      <c r="CW40" s="414"/>
      <c r="CX40" s="413"/>
      <c r="CY40" s="413"/>
      <c r="CZ40" s="413"/>
      <c r="DA40" s="413"/>
      <c r="DB40" s="413"/>
      <c r="DC40" s="413"/>
      <c r="DD40" s="413"/>
      <c r="DE40" s="413"/>
      <c r="DF40" s="413"/>
      <c r="DG40" s="414"/>
      <c r="DH40" s="413"/>
      <c r="DI40" s="413"/>
      <c r="DJ40" s="413"/>
      <c r="DK40" s="413"/>
      <c r="DL40" s="413"/>
      <c r="DM40" s="413"/>
      <c r="DN40" s="413"/>
      <c r="DO40" s="413"/>
      <c r="DP40" s="413"/>
      <c r="DQ40" s="414"/>
      <c r="DR40" s="413"/>
      <c r="DS40" s="413"/>
      <c r="DT40" s="413"/>
      <c r="DU40" s="413"/>
      <c r="DV40" s="413"/>
      <c r="DW40" s="413"/>
      <c r="DX40" s="413"/>
      <c r="DY40" s="413"/>
      <c r="DZ40" s="413"/>
      <c r="EA40" s="413"/>
      <c r="EB40" s="413"/>
      <c r="EC40" s="413"/>
      <c r="ED40" s="413"/>
      <c r="EE40" s="413"/>
      <c r="EF40" s="413"/>
      <c r="EG40" s="413"/>
      <c r="EH40" s="413"/>
      <c r="EI40" s="413"/>
      <c r="EJ40" s="413"/>
      <c r="EK40" s="413"/>
      <c r="EL40" s="413"/>
      <c r="EM40" s="452"/>
      <c r="EN40" s="413"/>
      <c r="EO40" s="453"/>
      <c r="EP40" s="413"/>
      <c r="EQ40" s="434"/>
      <c r="ER40" s="434"/>
      <c r="ES40" s="434"/>
      <c r="ET40" s="434"/>
      <c r="EU40" s="434"/>
      <c r="EV40" s="434"/>
      <c r="EW40" s="434"/>
      <c r="EX40" s="434"/>
      <c r="EY40" s="434"/>
      <c r="EZ40" s="434"/>
      <c r="FA40" s="434"/>
      <c r="FB40" s="434"/>
      <c r="FC40" s="399"/>
      <c r="FD40" s="399"/>
      <c r="FE40" s="399"/>
      <c r="FF40" s="399"/>
      <c r="FG40" s="415"/>
      <c r="FH40" s="415"/>
      <c r="FI40" s="415"/>
      <c r="FJ40" s="415"/>
      <c r="FK40" s="415"/>
      <c r="FL40" s="415"/>
      <c r="FM40" s="415"/>
    </row>
    <row r="41" spans="1:169" hidden="1">
      <c r="A41" s="410" t="s">
        <v>1298</v>
      </c>
      <c r="B41" s="459" t="s">
        <v>1315</v>
      </c>
      <c r="C41" s="412"/>
      <c r="D41" s="412"/>
      <c r="E41" s="412"/>
      <c r="F41" s="412"/>
      <c r="G41" s="412"/>
      <c r="H41" s="412"/>
      <c r="I41" s="412"/>
      <c r="J41" s="412"/>
      <c r="K41" s="412"/>
      <c r="L41" s="412"/>
      <c r="M41" s="413"/>
      <c r="N41" s="413"/>
      <c r="O41" s="413"/>
      <c r="P41" s="413"/>
      <c r="Q41" s="413"/>
      <c r="R41" s="413"/>
      <c r="S41" s="413"/>
      <c r="T41" s="413"/>
      <c r="U41" s="413"/>
      <c r="V41" s="413"/>
      <c r="W41" s="413"/>
      <c r="X41" s="413"/>
      <c r="Y41" s="413"/>
      <c r="Z41" s="413"/>
      <c r="AA41" s="413"/>
      <c r="AB41" s="413"/>
      <c r="AC41" s="413"/>
      <c r="AD41" s="413"/>
      <c r="AE41" s="413"/>
      <c r="AF41" s="413"/>
      <c r="AG41" s="413"/>
      <c r="AH41" s="413"/>
      <c r="AI41" s="413"/>
      <c r="AJ41" s="413"/>
      <c r="AK41" s="413"/>
      <c r="AL41" s="413"/>
      <c r="AM41" s="413"/>
      <c r="AN41" s="413"/>
      <c r="AO41" s="414"/>
      <c r="AP41" s="413"/>
      <c r="AQ41" s="413"/>
      <c r="AR41" s="413"/>
      <c r="AS41" s="413"/>
      <c r="AT41" s="413"/>
      <c r="AU41" s="413"/>
      <c r="AV41" s="413"/>
      <c r="AW41" s="413"/>
      <c r="AX41" s="413"/>
      <c r="AY41" s="414"/>
      <c r="AZ41" s="413"/>
      <c r="BA41" s="413"/>
      <c r="BB41" s="413"/>
      <c r="BC41" s="413"/>
      <c r="BD41" s="413"/>
      <c r="BE41" s="413"/>
      <c r="BF41" s="413"/>
      <c r="BG41" s="413"/>
      <c r="BH41" s="413"/>
      <c r="BI41" s="414"/>
      <c r="BJ41" s="413"/>
      <c r="BK41" s="413"/>
      <c r="BL41" s="413"/>
      <c r="BM41" s="413"/>
      <c r="BN41" s="413"/>
      <c r="BO41" s="413"/>
      <c r="BP41" s="413"/>
      <c r="BQ41" s="413"/>
      <c r="BR41" s="413"/>
      <c r="BS41" s="413"/>
      <c r="BT41" s="413"/>
      <c r="BU41" s="413"/>
      <c r="BV41" s="413"/>
      <c r="BW41" s="413"/>
      <c r="BX41" s="413"/>
      <c r="BY41" s="413"/>
      <c r="BZ41" s="413"/>
      <c r="CA41" s="413"/>
      <c r="CB41" s="413"/>
      <c r="CC41" s="413"/>
      <c r="CD41" s="413"/>
      <c r="CE41" s="413"/>
      <c r="CF41" s="413"/>
      <c r="CG41" s="413"/>
      <c r="CH41" s="413"/>
      <c r="CI41" s="413"/>
      <c r="CJ41" s="413"/>
      <c r="CK41" s="413"/>
      <c r="CL41" s="413"/>
      <c r="CM41" s="414"/>
      <c r="CN41" s="413"/>
      <c r="CO41" s="413"/>
      <c r="CP41" s="413"/>
      <c r="CQ41" s="413"/>
      <c r="CR41" s="413"/>
      <c r="CS41" s="413"/>
      <c r="CT41" s="413"/>
      <c r="CU41" s="413"/>
      <c r="CV41" s="413"/>
      <c r="CW41" s="414"/>
      <c r="CX41" s="413"/>
      <c r="CY41" s="413"/>
      <c r="CZ41" s="413"/>
      <c r="DA41" s="413"/>
      <c r="DB41" s="413"/>
      <c r="DC41" s="413"/>
      <c r="DD41" s="413"/>
      <c r="DE41" s="413"/>
      <c r="DF41" s="413"/>
      <c r="DG41" s="414"/>
      <c r="DH41" s="413"/>
      <c r="DI41" s="413"/>
      <c r="DJ41" s="413"/>
      <c r="DK41" s="413"/>
      <c r="DL41" s="413"/>
      <c r="DM41" s="413"/>
      <c r="DN41" s="413"/>
      <c r="DO41" s="413"/>
      <c r="DP41" s="413"/>
      <c r="DQ41" s="414"/>
      <c r="DR41" s="413"/>
      <c r="DS41" s="413"/>
      <c r="DT41" s="413"/>
      <c r="DU41" s="413"/>
      <c r="DV41" s="413"/>
      <c r="DW41" s="413"/>
      <c r="DX41" s="413"/>
      <c r="DY41" s="413"/>
      <c r="DZ41" s="413"/>
      <c r="EA41" s="413"/>
      <c r="EB41" s="413"/>
      <c r="EC41" s="413"/>
      <c r="ED41" s="413"/>
      <c r="EE41" s="413"/>
      <c r="EF41" s="413"/>
      <c r="EG41" s="413"/>
      <c r="EH41" s="413"/>
      <c r="EI41" s="413"/>
      <c r="EJ41" s="413"/>
      <c r="EK41" s="413"/>
      <c r="EL41" s="413"/>
      <c r="EM41" s="452"/>
      <c r="EN41" s="413"/>
      <c r="EO41" s="453"/>
      <c r="EP41" s="413"/>
      <c r="EQ41" s="434"/>
      <c r="ER41" s="434"/>
      <c r="ES41" s="434"/>
      <c r="ET41" s="434"/>
      <c r="EU41" s="434"/>
      <c r="EV41" s="434"/>
      <c r="EW41" s="434"/>
      <c r="EX41" s="434"/>
      <c r="EY41" s="434"/>
      <c r="EZ41" s="434"/>
      <c r="FA41" s="434"/>
      <c r="FB41" s="434"/>
      <c r="FC41" s="399"/>
      <c r="FD41" s="399"/>
      <c r="FE41" s="399"/>
      <c r="FF41" s="399"/>
      <c r="FG41" s="415"/>
      <c r="FH41" s="415"/>
      <c r="FI41" s="415"/>
      <c r="FJ41" s="415"/>
      <c r="FK41" s="415"/>
      <c r="FL41" s="415"/>
      <c r="FM41" s="415"/>
    </row>
    <row r="42" spans="1:169" hidden="1">
      <c r="A42" s="410" t="s">
        <v>1299</v>
      </c>
      <c r="B42" s="459" t="s">
        <v>1316</v>
      </c>
      <c r="C42" s="412"/>
      <c r="D42" s="412"/>
      <c r="E42" s="412"/>
      <c r="F42" s="412"/>
      <c r="G42" s="412"/>
      <c r="H42" s="412"/>
      <c r="I42" s="412"/>
      <c r="J42" s="412"/>
      <c r="K42" s="412"/>
      <c r="L42" s="412"/>
      <c r="M42" s="413"/>
      <c r="N42" s="413"/>
      <c r="O42" s="413"/>
      <c r="P42" s="413"/>
      <c r="Q42" s="413"/>
      <c r="R42" s="413"/>
      <c r="S42" s="413"/>
      <c r="T42" s="413"/>
      <c r="U42" s="413"/>
      <c r="V42" s="413"/>
      <c r="W42" s="413"/>
      <c r="X42" s="413"/>
      <c r="Y42" s="413"/>
      <c r="Z42" s="413"/>
      <c r="AA42" s="413"/>
      <c r="AB42" s="413"/>
      <c r="AC42" s="413"/>
      <c r="AD42" s="413"/>
      <c r="AE42" s="413"/>
      <c r="AF42" s="413"/>
      <c r="AG42" s="413"/>
      <c r="AH42" s="413"/>
      <c r="AI42" s="413"/>
      <c r="AJ42" s="413"/>
      <c r="AK42" s="413"/>
      <c r="AL42" s="413"/>
      <c r="AM42" s="413"/>
      <c r="AN42" s="413"/>
      <c r="AO42" s="414"/>
      <c r="AP42" s="413"/>
      <c r="AQ42" s="413"/>
      <c r="AR42" s="413"/>
      <c r="AS42" s="413"/>
      <c r="AT42" s="413"/>
      <c r="AU42" s="413"/>
      <c r="AV42" s="413"/>
      <c r="AW42" s="413"/>
      <c r="AX42" s="413"/>
      <c r="AY42" s="414"/>
      <c r="AZ42" s="413"/>
      <c r="BA42" s="413"/>
      <c r="BB42" s="413"/>
      <c r="BC42" s="413"/>
      <c r="BD42" s="413"/>
      <c r="BE42" s="413"/>
      <c r="BF42" s="413"/>
      <c r="BG42" s="413"/>
      <c r="BH42" s="413"/>
      <c r="BI42" s="414"/>
      <c r="BJ42" s="413"/>
      <c r="BK42" s="413"/>
      <c r="BL42" s="413"/>
      <c r="BM42" s="413"/>
      <c r="BN42" s="413"/>
      <c r="BO42" s="413"/>
      <c r="BP42" s="413"/>
      <c r="BQ42" s="413"/>
      <c r="BR42" s="413"/>
      <c r="BS42" s="413"/>
      <c r="BT42" s="413"/>
      <c r="BU42" s="413"/>
      <c r="BV42" s="413"/>
      <c r="BW42" s="413"/>
      <c r="BX42" s="413"/>
      <c r="BY42" s="413"/>
      <c r="BZ42" s="413"/>
      <c r="CA42" s="413"/>
      <c r="CB42" s="413"/>
      <c r="CC42" s="413"/>
      <c r="CD42" s="413"/>
      <c r="CE42" s="413"/>
      <c r="CF42" s="413"/>
      <c r="CG42" s="413"/>
      <c r="CH42" s="413"/>
      <c r="CI42" s="413"/>
      <c r="CJ42" s="413"/>
      <c r="CK42" s="413"/>
      <c r="CL42" s="413"/>
      <c r="CM42" s="414"/>
      <c r="CN42" s="413"/>
      <c r="CO42" s="413"/>
      <c r="CP42" s="413"/>
      <c r="CQ42" s="413"/>
      <c r="CR42" s="413"/>
      <c r="CS42" s="413"/>
      <c r="CT42" s="413"/>
      <c r="CU42" s="413"/>
      <c r="CV42" s="413"/>
      <c r="CW42" s="414"/>
      <c r="CX42" s="413"/>
      <c r="CY42" s="413"/>
      <c r="CZ42" s="413"/>
      <c r="DA42" s="413"/>
      <c r="DB42" s="413"/>
      <c r="DC42" s="413"/>
      <c r="DD42" s="413"/>
      <c r="DE42" s="413"/>
      <c r="DF42" s="413"/>
      <c r="DG42" s="414"/>
      <c r="DH42" s="413"/>
      <c r="DI42" s="413"/>
      <c r="DJ42" s="413"/>
      <c r="DK42" s="413"/>
      <c r="DL42" s="413"/>
      <c r="DM42" s="413"/>
      <c r="DN42" s="413"/>
      <c r="DO42" s="413"/>
      <c r="DP42" s="413"/>
      <c r="DQ42" s="414"/>
      <c r="DR42" s="413"/>
      <c r="DS42" s="413"/>
      <c r="DT42" s="413"/>
      <c r="DU42" s="413"/>
      <c r="DV42" s="413"/>
      <c r="DW42" s="413"/>
      <c r="DX42" s="413"/>
      <c r="DY42" s="413"/>
      <c r="DZ42" s="413"/>
      <c r="EA42" s="413"/>
      <c r="EB42" s="413"/>
      <c r="EC42" s="413"/>
      <c r="ED42" s="413"/>
      <c r="EE42" s="413"/>
      <c r="EF42" s="413"/>
      <c r="EG42" s="413"/>
      <c r="EH42" s="413"/>
      <c r="EI42" s="413"/>
      <c r="EJ42" s="413"/>
      <c r="EK42" s="413"/>
      <c r="EL42" s="413"/>
      <c r="EM42" s="452"/>
      <c r="EN42" s="413"/>
      <c r="EO42" s="453"/>
      <c r="EP42" s="413"/>
      <c r="EQ42" s="434"/>
      <c r="ER42" s="434"/>
      <c r="ES42" s="434"/>
      <c r="ET42" s="434"/>
      <c r="EU42" s="434"/>
      <c r="EV42" s="434"/>
      <c r="EW42" s="434"/>
      <c r="EX42" s="434"/>
      <c r="EY42" s="434"/>
      <c r="EZ42" s="434"/>
      <c r="FA42" s="434"/>
      <c r="FB42" s="434"/>
      <c r="FC42" s="399"/>
      <c r="FD42" s="399"/>
      <c r="FE42" s="399"/>
      <c r="FF42" s="399"/>
      <c r="FG42" s="415"/>
      <c r="FH42" s="415"/>
      <c r="FI42" s="415"/>
      <c r="FJ42" s="415"/>
      <c r="FK42" s="415"/>
      <c r="FL42" s="415"/>
      <c r="FM42" s="415"/>
    </row>
    <row r="43" spans="1:169" hidden="1">
      <c r="A43" s="410" t="s">
        <v>1300</v>
      </c>
      <c r="B43" s="459" t="s">
        <v>1317</v>
      </c>
      <c r="C43" s="412"/>
      <c r="D43" s="412"/>
      <c r="E43" s="412"/>
      <c r="F43" s="412"/>
      <c r="G43" s="412"/>
      <c r="H43" s="412"/>
      <c r="I43" s="412"/>
      <c r="J43" s="412"/>
      <c r="K43" s="412"/>
      <c r="L43" s="412"/>
      <c r="M43" s="413"/>
      <c r="N43" s="413"/>
      <c r="O43" s="413"/>
      <c r="P43" s="413"/>
      <c r="Q43" s="413"/>
      <c r="R43" s="413"/>
      <c r="S43" s="413"/>
      <c r="T43" s="413"/>
      <c r="U43" s="413"/>
      <c r="V43" s="413"/>
      <c r="W43" s="413"/>
      <c r="X43" s="413"/>
      <c r="Y43" s="413"/>
      <c r="Z43" s="413"/>
      <c r="AA43" s="413"/>
      <c r="AB43" s="413"/>
      <c r="AC43" s="413"/>
      <c r="AD43" s="413"/>
      <c r="AE43" s="413"/>
      <c r="AF43" s="413"/>
      <c r="AG43" s="413"/>
      <c r="AH43" s="413"/>
      <c r="AI43" s="413"/>
      <c r="AJ43" s="413"/>
      <c r="AK43" s="413"/>
      <c r="AL43" s="413"/>
      <c r="AM43" s="413"/>
      <c r="AN43" s="413"/>
      <c r="AO43" s="414"/>
      <c r="AP43" s="413"/>
      <c r="AQ43" s="413"/>
      <c r="AR43" s="413"/>
      <c r="AS43" s="413"/>
      <c r="AT43" s="413"/>
      <c r="AU43" s="413"/>
      <c r="AV43" s="413"/>
      <c r="AW43" s="413"/>
      <c r="AX43" s="413"/>
      <c r="AY43" s="414"/>
      <c r="AZ43" s="413"/>
      <c r="BA43" s="413"/>
      <c r="BB43" s="413"/>
      <c r="BC43" s="413"/>
      <c r="BD43" s="413"/>
      <c r="BE43" s="413"/>
      <c r="BF43" s="413"/>
      <c r="BG43" s="413"/>
      <c r="BH43" s="413"/>
      <c r="BI43" s="414"/>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F43" s="413"/>
      <c r="CG43" s="413"/>
      <c r="CH43" s="413"/>
      <c r="CI43" s="413"/>
      <c r="CJ43" s="413"/>
      <c r="CK43" s="413"/>
      <c r="CL43" s="413"/>
      <c r="CM43" s="414"/>
      <c r="CN43" s="413"/>
      <c r="CO43" s="413"/>
      <c r="CP43" s="413"/>
      <c r="CQ43" s="413"/>
      <c r="CR43" s="413"/>
      <c r="CS43" s="413"/>
      <c r="CT43" s="413"/>
      <c r="CU43" s="413"/>
      <c r="CV43" s="413"/>
      <c r="CW43" s="414"/>
      <c r="CX43" s="413"/>
      <c r="CY43" s="413"/>
      <c r="CZ43" s="413"/>
      <c r="DA43" s="413"/>
      <c r="DB43" s="413"/>
      <c r="DC43" s="413"/>
      <c r="DD43" s="413"/>
      <c r="DE43" s="413"/>
      <c r="DF43" s="413"/>
      <c r="DG43" s="414"/>
      <c r="DH43" s="413"/>
      <c r="DI43" s="413"/>
      <c r="DJ43" s="413"/>
      <c r="DK43" s="413"/>
      <c r="DL43" s="413"/>
      <c r="DM43" s="413"/>
      <c r="DN43" s="413"/>
      <c r="DO43" s="413"/>
      <c r="DP43" s="413"/>
      <c r="DQ43" s="414"/>
      <c r="DR43" s="413"/>
      <c r="DS43" s="413"/>
      <c r="DT43" s="413"/>
      <c r="DU43" s="413"/>
      <c r="DV43" s="413"/>
      <c r="DW43" s="413"/>
      <c r="DX43" s="413"/>
      <c r="DY43" s="413"/>
      <c r="DZ43" s="413"/>
      <c r="EA43" s="413"/>
      <c r="EB43" s="413"/>
      <c r="EC43" s="413"/>
      <c r="ED43" s="413"/>
      <c r="EE43" s="413"/>
      <c r="EF43" s="413"/>
      <c r="EG43" s="413"/>
      <c r="EH43" s="413"/>
      <c r="EI43" s="413"/>
      <c r="EJ43" s="413"/>
      <c r="EK43" s="413"/>
      <c r="EL43" s="413"/>
      <c r="EM43" s="452"/>
      <c r="EN43" s="413"/>
      <c r="EO43" s="453"/>
      <c r="EP43" s="413"/>
      <c r="EQ43" s="434"/>
      <c r="ER43" s="434"/>
      <c r="ES43" s="434"/>
      <c r="ET43" s="434"/>
      <c r="EU43" s="434"/>
      <c r="EV43" s="434"/>
      <c r="EW43" s="434"/>
      <c r="EX43" s="434"/>
      <c r="EY43" s="434"/>
      <c r="EZ43" s="434"/>
      <c r="FA43" s="434"/>
      <c r="FB43" s="434"/>
      <c r="FC43" s="399"/>
      <c r="FD43" s="399"/>
      <c r="FE43" s="399"/>
      <c r="FF43" s="399"/>
      <c r="FG43" s="415"/>
      <c r="FH43" s="415"/>
      <c r="FI43" s="415"/>
      <c r="FJ43" s="415"/>
      <c r="FK43" s="415"/>
      <c r="FL43" s="415"/>
      <c r="FM43" s="415"/>
    </row>
    <row r="44" spans="1:169" hidden="1">
      <c r="A44" s="410" t="s">
        <v>1319</v>
      </c>
      <c r="B44" s="459" t="s">
        <v>1318</v>
      </c>
      <c r="C44" s="412"/>
      <c r="D44" s="412"/>
      <c r="E44" s="412"/>
      <c r="F44" s="412"/>
      <c r="G44" s="412"/>
      <c r="H44" s="412"/>
      <c r="I44" s="412"/>
      <c r="J44" s="412"/>
      <c r="K44" s="412"/>
      <c r="L44" s="412"/>
      <c r="M44" s="413"/>
      <c r="N44" s="413"/>
      <c r="O44" s="413"/>
      <c r="P44" s="413"/>
      <c r="Q44" s="413"/>
      <c r="R44" s="413"/>
      <c r="S44" s="413"/>
      <c r="T44" s="413"/>
      <c r="U44" s="413"/>
      <c r="V44" s="413"/>
      <c r="W44" s="413"/>
      <c r="X44" s="413"/>
      <c r="Y44" s="413"/>
      <c r="Z44" s="413"/>
      <c r="AA44" s="413"/>
      <c r="AB44" s="413"/>
      <c r="AC44" s="413"/>
      <c r="AD44" s="413"/>
      <c r="AE44" s="413"/>
      <c r="AF44" s="413"/>
      <c r="AG44" s="413"/>
      <c r="AH44" s="413"/>
      <c r="AI44" s="413"/>
      <c r="AJ44" s="413"/>
      <c r="AK44" s="413"/>
      <c r="AL44" s="413"/>
      <c r="AM44" s="413"/>
      <c r="AN44" s="413"/>
      <c r="AO44" s="414"/>
      <c r="AP44" s="413"/>
      <c r="AQ44" s="413"/>
      <c r="AR44" s="413"/>
      <c r="AS44" s="413"/>
      <c r="AT44" s="413"/>
      <c r="AU44" s="413"/>
      <c r="AV44" s="413"/>
      <c r="AW44" s="413"/>
      <c r="AX44" s="413"/>
      <c r="AY44" s="414"/>
      <c r="AZ44" s="413"/>
      <c r="BA44" s="413"/>
      <c r="BB44" s="413"/>
      <c r="BC44" s="413"/>
      <c r="BD44" s="413"/>
      <c r="BE44" s="413"/>
      <c r="BF44" s="413"/>
      <c r="BG44" s="413"/>
      <c r="BH44" s="413"/>
      <c r="BI44" s="414"/>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F44" s="413"/>
      <c r="CG44" s="413"/>
      <c r="CH44" s="413"/>
      <c r="CI44" s="413"/>
      <c r="CJ44" s="413"/>
      <c r="CK44" s="413"/>
      <c r="CL44" s="413"/>
      <c r="CM44" s="414"/>
      <c r="CN44" s="413"/>
      <c r="CO44" s="413"/>
      <c r="CP44" s="413"/>
      <c r="CQ44" s="413"/>
      <c r="CR44" s="413"/>
      <c r="CS44" s="413"/>
      <c r="CT44" s="413"/>
      <c r="CU44" s="413"/>
      <c r="CV44" s="413"/>
      <c r="CW44" s="414"/>
      <c r="CX44" s="413"/>
      <c r="CY44" s="413"/>
      <c r="CZ44" s="413"/>
      <c r="DA44" s="413"/>
      <c r="DB44" s="413"/>
      <c r="DC44" s="413"/>
      <c r="DD44" s="413"/>
      <c r="DE44" s="413"/>
      <c r="DF44" s="413"/>
      <c r="DG44" s="414"/>
      <c r="DH44" s="413"/>
      <c r="DI44" s="413"/>
      <c r="DJ44" s="413"/>
      <c r="DK44" s="413"/>
      <c r="DL44" s="413"/>
      <c r="DM44" s="413"/>
      <c r="DN44" s="413"/>
      <c r="DO44" s="413"/>
      <c r="DP44" s="413"/>
      <c r="DQ44" s="414"/>
      <c r="DR44" s="413"/>
      <c r="DS44" s="413"/>
      <c r="DT44" s="413"/>
      <c r="DU44" s="413"/>
      <c r="DV44" s="413"/>
      <c r="DW44" s="413"/>
      <c r="DX44" s="413"/>
      <c r="DY44" s="413"/>
      <c r="DZ44" s="413"/>
      <c r="EA44" s="413"/>
      <c r="EB44" s="413"/>
      <c r="EC44" s="413"/>
      <c r="ED44" s="413"/>
      <c r="EE44" s="413"/>
      <c r="EF44" s="413"/>
      <c r="EG44" s="413"/>
      <c r="EH44" s="413"/>
      <c r="EI44" s="413"/>
      <c r="EJ44" s="413"/>
      <c r="EK44" s="413"/>
      <c r="EL44" s="413"/>
      <c r="EM44" s="452"/>
      <c r="EN44" s="413"/>
      <c r="EO44" s="453"/>
      <c r="EP44" s="413"/>
      <c r="EQ44" s="434"/>
      <c r="ER44" s="434"/>
      <c r="ES44" s="434"/>
      <c r="ET44" s="434"/>
      <c r="EU44" s="434"/>
      <c r="EV44" s="434"/>
      <c r="EW44" s="434"/>
      <c r="EX44" s="434"/>
      <c r="EY44" s="434"/>
      <c r="EZ44" s="434"/>
      <c r="FA44" s="434"/>
      <c r="FB44" s="434"/>
      <c r="FC44" s="399"/>
      <c r="FD44" s="399"/>
      <c r="FE44" s="399"/>
      <c r="FF44" s="399"/>
      <c r="FG44" s="415"/>
      <c r="FH44" s="415"/>
      <c r="FI44" s="415"/>
      <c r="FJ44" s="415"/>
      <c r="FK44" s="415"/>
      <c r="FL44" s="415"/>
      <c r="FM44" s="415"/>
    </row>
    <row r="45" spans="1:169" hidden="1">
      <c r="A45" s="410" t="s">
        <v>1321</v>
      </c>
      <c r="B45" s="459"/>
      <c r="C45" s="412"/>
      <c r="D45" s="412"/>
      <c r="E45" s="412"/>
      <c r="F45" s="412"/>
      <c r="G45" s="412"/>
      <c r="H45" s="412"/>
      <c r="I45" s="412"/>
      <c r="J45" s="412"/>
      <c r="K45" s="412"/>
      <c r="L45" s="412"/>
      <c r="M45" s="413"/>
      <c r="N45" s="413"/>
      <c r="O45" s="413"/>
      <c r="P45" s="413"/>
      <c r="Q45" s="413"/>
      <c r="R45" s="413"/>
      <c r="S45" s="413"/>
      <c r="T45" s="413"/>
      <c r="U45" s="413"/>
      <c r="V45" s="413"/>
      <c r="W45" s="413"/>
      <c r="X45" s="413"/>
      <c r="Y45" s="413"/>
      <c r="Z45" s="413"/>
      <c r="AA45" s="413"/>
      <c r="AB45" s="413"/>
      <c r="AC45" s="413"/>
      <c r="AD45" s="413"/>
      <c r="AE45" s="413"/>
      <c r="AF45" s="413"/>
      <c r="AG45" s="413"/>
      <c r="AH45" s="413"/>
      <c r="AI45" s="413"/>
      <c r="AJ45" s="413"/>
      <c r="AK45" s="413"/>
      <c r="AL45" s="413"/>
      <c r="AM45" s="413"/>
      <c r="AN45" s="413"/>
      <c r="AO45" s="414"/>
      <c r="AP45" s="413"/>
      <c r="AQ45" s="413"/>
      <c r="AR45" s="413"/>
      <c r="AS45" s="413"/>
      <c r="AT45" s="413"/>
      <c r="AU45" s="413"/>
      <c r="AV45" s="413"/>
      <c r="AW45" s="413"/>
      <c r="AX45" s="413"/>
      <c r="AY45" s="414"/>
      <c r="AZ45" s="413"/>
      <c r="BA45" s="413"/>
      <c r="BB45" s="413"/>
      <c r="BC45" s="413"/>
      <c r="BD45" s="413"/>
      <c r="BE45" s="413"/>
      <c r="BF45" s="413"/>
      <c r="BG45" s="413"/>
      <c r="BH45" s="413"/>
      <c r="BI45" s="414"/>
      <c r="BJ45" s="413"/>
      <c r="BK45" s="413"/>
      <c r="BL45" s="413"/>
      <c r="BM45" s="413"/>
      <c r="BN45" s="413"/>
      <c r="BO45" s="413"/>
      <c r="BP45" s="413"/>
      <c r="BQ45" s="413"/>
      <c r="BR45" s="413"/>
      <c r="BS45" s="413"/>
      <c r="BT45" s="413"/>
      <c r="BU45" s="413"/>
      <c r="BV45" s="413"/>
      <c r="BW45" s="413"/>
      <c r="BX45" s="413"/>
      <c r="BY45" s="413"/>
      <c r="BZ45" s="413"/>
      <c r="CA45" s="413"/>
      <c r="CB45" s="413"/>
      <c r="CC45" s="413"/>
      <c r="CD45" s="413"/>
      <c r="CE45" s="413"/>
      <c r="CF45" s="413"/>
      <c r="CG45" s="413"/>
      <c r="CH45" s="413"/>
      <c r="CI45" s="413"/>
      <c r="CJ45" s="413"/>
      <c r="CK45" s="413"/>
      <c r="CL45" s="413"/>
      <c r="CM45" s="414"/>
      <c r="CN45" s="413"/>
      <c r="CO45" s="413"/>
      <c r="CP45" s="413"/>
      <c r="CQ45" s="413"/>
      <c r="CR45" s="413"/>
      <c r="CS45" s="413"/>
      <c r="CT45" s="413"/>
      <c r="CU45" s="413"/>
      <c r="CV45" s="413"/>
      <c r="CW45" s="414"/>
      <c r="CX45" s="413"/>
      <c r="CY45" s="413"/>
      <c r="CZ45" s="413"/>
      <c r="DA45" s="413"/>
      <c r="DB45" s="413"/>
      <c r="DC45" s="413"/>
      <c r="DD45" s="413"/>
      <c r="DE45" s="413"/>
      <c r="DF45" s="413"/>
      <c r="DG45" s="414"/>
      <c r="DH45" s="413"/>
      <c r="DI45" s="413"/>
      <c r="DJ45" s="413"/>
      <c r="DK45" s="413"/>
      <c r="DL45" s="413"/>
      <c r="DM45" s="413"/>
      <c r="DN45" s="413"/>
      <c r="DO45" s="413"/>
      <c r="DP45" s="413"/>
      <c r="DQ45" s="414"/>
      <c r="DR45" s="413"/>
      <c r="DS45" s="413"/>
      <c r="DT45" s="413"/>
      <c r="DU45" s="413"/>
      <c r="DV45" s="413"/>
      <c r="DW45" s="413"/>
      <c r="DX45" s="413"/>
      <c r="DY45" s="413"/>
      <c r="DZ45" s="413"/>
      <c r="EA45" s="413"/>
      <c r="EB45" s="413"/>
      <c r="EC45" s="413"/>
      <c r="ED45" s="413"/>
      <c r="EE45" s="413"/>
      <c r="EF45" s="413"/>
      <c r="EG45" s="413"/>
      <c r="EH45" s="413"/>
      <c r="EI45" s="413"/>
      <c r="EJ45" s="413"/>
      <c r="EK45" s="413"/>
      <c r="EL45" s="413"/>
      <c r="EM45" s="452"/>
      <c r="EN45" s="413"/>
      <c r="EO45" s="453"/>
      <c r="EP45" s="413"/>
      <c r="EQ45" s="434"/>
      <c r="ER45" s="434"/>
      <c r="ES45" s="434"/>
      <c r="ET45" s="434"/>
      <c r="EU45" s="434"/>
      <c r="EV45" s="434"/>
      <c r="EW45" s="434"/>
      <c r="EX45" s="434"/>
      <c r="EY45" s="434"/>
      <c r="EZ45" s="434"/>
      <c r="FA45" s="434"/>
      <c r="FB45" s="434"/>
      <c r="FC45" s="399"/>
      <c r="FD45" s="399"/>
      <c r="FE45" s="399"/>
      <c r="FF45" s="399"/>
      <c r="FG45" s="415"/>
      <c r="FH45" s="415"/>
      <c r="FI45" s="415"/>
      <c r="FJ45" s="415"/>
      <c r="FK45" s="415"/>
      <c r="FL45" s="415"/>
      <c r="FM45" s="415"/>
    </row>
    <row r="46" spans="1:169" hidden="1">
      <c r="A46" s="410"/>
      <c r="B46" s="459" t="s">
        <v>672</v>
      </c>
      <c r="C46" s="412"/>
      <c r="D46" s="412"/>
      <c r="E46" s="412"/>
      <c r="F46" s="412"/>
      <c r="G46" s="412"/>
      <c r="H46" s="412"/>
      <c r="I46" s="412"/>
      <c r="J46" s="412"/>
      <c r="K46" s="412"/>
      <c r="L46" s="412"/>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3"/>
      <c r="AO46" s="414"/>
      <c r="AP46" s="413"/>
      <c r="AQ46" s="413"/>
      <c r="AR46" s="413"/>
      <c r="AS46" s="413"/>
      <c r="AT46" s="413"/>
      <c r="AU46" s="413"/>
      <c r="AV46" s="413"/>
      <c r="AW46" s="413"/>
      <c r="AX46" s="413"/>
      <c r="AY46" s="414"/>
      <c r="AZ46" s="413"/>
      <c r="BA46" s="413"/>
      <c r="BB46" s="413"/>
      <c r="BC46" s="413"/>
      <c r="BD46" s="413"/>
      <c r="BE46" s="413"/>
      <c r="BF46" s="413"/>
      <c r="BG46" s="413"/>
      <c r="BH46" s="413"/>
      <c r="BI46" s="414"/>
      <c r="BJ46" s="413"/>
      <c r="BK46" s="413"/>
      <c r="BL46" s="413"/>
      <c r="BM46" s="413"/>
      <c r="BN46" s="413"/>
      <c r="BO46" s="413"/>
      <c r="BP46" s="413"/>
      <c r="BQ46" s="413"/>
      <c r="BR46" s="413"/>
      <c r="BS46" s="413"/>
      <c r="BT46" s="413"/>
      <c r="BU46" s="413"/>
      <c r="BV46" s="413"/>
      <c r="BW46" s="413"/>
      <c r="BX46" s="413"/>
      <c r="BY46" s="413"/>
      <c r="BZ46" s="413"/>
      <c r="CA46" s="413"/>
      <c r="CB46" s="413"/>
      <c r="CC46" s="413"/>
      <c r="CD46" s="413"/>
      <c r="CE46" s="413"/>
      <c r="CF46" s="413"/>
      <c r="CG46" s="413"/>
      <c r="CH46" s="413"/>
      <c r="CI46" s="413"/>
      <c r="CJ46" s="413"/>
      <c r="CK46" s="413"/>
      <c r="CL46" s="413"/>
      <c r="CM46" s="414"/>
      <c r="CN46" s="413"/>
      <c r="CO46" s="413"/>
      <c r="CP46" s="413"/>
      <c r="CQ46" s="413"/>
      <c r="CR46" s="413"/>
      <c r="CS46" s="413"/>
      <c r="CT46" s="413"/>
      <c r="CU46" s="413"/>
      <c r="CV46" s="413"/>
      <c r="CW46" s="414"/>
      <c r="CX46" s="413"/>
      <c r="CY46" s="413"/>
      <c r="CZ46" s="413"/>
      <c r="DA46" s="413"/>
      <c r="DB46" s="413"/>
      <c r="DC46" s="413"/>
      <c r="DD46" s="413"/>
      <c r="DE46" s="413"/>
      <c r="DF46" s="413"/>
      <c r="DG46" s="414"/>
      <c r="DH46" s="413"/>
      <c r="DI46" s="413"/>
      <c r="DJ46" s="413"/>
      <c r="DK46" s="413"/>
      <c r="DL46" s="413"/>
      <c r="DM46" s="413"/>
      <c r="DN46" s="413"/>
      <c r="DO46" s="413"/>
      <c r="DP46" s="413"/>
      <c r="DQ46" s="414"/>
      <c r="DR46" s="413"/>
      <c r="DS46" s="413"/>
      <c r="DT46" s="413"/>
      <c r="DU46" s="413"/>
      <c r="DV46" s="413"/>
      <c r="DW46" s="413"/>
      <c r="DX46" s="413"/>
      <c r="DY46" s="413"/>
      <c r="DZ46" s="413"/>
      <c r="EA46" s="413"/>
      <c r="EB46" s="413"/>
      <c r="EC46" s="413"/>
      <c r="ED46" s="413"/>
      <c r="EE46" s="413"/>
      <c r="EF46" s="413"/>
      <c r="EG46" s="413"/>
      <c r="EH46" s="413"/>
      <c r="EI46" s="413"/>
      <c r="EJ46" s="413"/>
      <c r="EK46" s="413"/>
      <c r="EL46" s="413"/>
      <c r="EM46" s="452"/>
      <c r="EN46" s="413"/>
      <c r="EO46" s="453"/>
      <c r="EP46" s="413"/>
      <c r="EQ46" s="434"/>
      <c r="ER46" s="434"/>
      <c r="ES46" s="434"/>
      <c r="ET46" s="434"/>
      <c r="EU46" s="434"/>
      <c r="EV46" s="434"/>
      <c r="EW46" s="434"/>
      <c r="EX46" s="434"/>
      <c r="EY46" s="434"/>
      <c r="EZ46" s="434"/>
      <c r="FA46" s="434"/>
      <c r="FB46" s="434"/>
      <c r="FC46" s="399"/>
      <c r="FD46" s="399"/>
      <c r="FE46" s="399"/>
      <c r="FF46" s="399"/>
      <c r="FG46" s="415"/>
      <c r="FH46" s="415"/>
      <c r="FI46" s="415"/>
      <c r="FJ46" s="415"/>
      <c r="FK46" s="415"/>
      <c r="FL46" s="415"/>
      <c r="FM46" s="415"/>
    </row>
    <row r="47" spans="1:169" hidden="1">
      <c r="A47" s="410"/>
      <c r="B47" s="459"/>
      <c r="C47" s="412"/>
      <c r="D47" s="412"/>
      <c r="E47" s="412"/>
      <c r="F47" s="412"/>
      <c r="G47" s="412"/>
      <c r="H47" s="412"/>
      <c r="I47" s="412"/>
      <c r="J47" s="412"/>
      <c r="K47" s="412"/>
      <c r="L47" s="412"/>
      <c r="M47" s="413"/>
      <c r="N47" s="413"/>
      <c r="O47" s="413"/>
      <c r="P47" s="413"/>
      <c r="Q47" s="413"/>
      <c r="R47" s="413"/>
      <c r="S47" s="413"/>
      <c r="T47" s="413"/>
      <c r="U47" s="413"/>
      <c r="V47" s="413"/>
      <c r="W47" s="413"/>
      <c r="X47" s="413"/>
      <c r="Y47" s="413"/>
      <c r="Z47" s="413"/>
      <c r="AA47" s="413"/>
      <c r="AB47" s="413"/>
      <c r="AC47" s="413"/>
      <c r="AD47" s="413"/>
      <c r="AE47" s="413"/>
      <c r="AF47" s="413"/>
      <c r="AG47" s="413"/>
      <c r="AH47" s="413"/>
      <c r="AI47" s="413"/>
      <c r="AJ47" s="413"/>
      <c r="AK47" s="413"/>
      <c r="AL47" s="413"/>
      <c r="AM47" s="413"/>
      <c r="AN47" s="413"/>
      <c r="AO47" s="414"/>
      <c r="AP47" s="413"/>
      <c r="AQ47" s="413"/>
      <c r="AR47" s="413"/>
      <c r="AS47" s="413"/>
      <c r="AT47" s="413"/>
      <c r="AU47" s="413"/>
      <c r="AV47" s="413"/>
      <c r="AW47" s="413"/>
      <c r="AX47" s="413"/>
      <c r="AY47" s="414"/>
      <c r="AZ47" s="413"/>
      <c r="BA47" s="413"/>
      <c r="BB47" s="413"/>
      <c r="BC47" s="413"/>
      <c r="BD47" s="413"/>
      <c r="BE47" s="413"/>
      <c r="BF47" s="413"/>
      <c r="BG47" s="413"/>
      <c r="BH47" s="413"/>
      <c r="BI47" s="414"/>
      <c r="BJ47" s="413"/>
      <c r="BK47" s="413"/>
      <c r="BL47" s="413"/>
      <c r="BM47" s="413"/>
      <c r="BN47" s="413"/>
      <c r="BO47" s="413"/>
      <c r="BP47" s="413"/>
      <c r="BQ47" s="413"/>
      <c r="BR47" s="413"/>
      <c r="BS47" s="413"/>
      <c r="BT47" s="413"/>
      <c r="BU47" s="413"/>
      <c r="BV47" s="413"/>
      <c r="BW47" s="413"/>
      <c r="BX47" s="413"/>
      <c r="BY47" s="413"/>
      <c r="BZ47" s="413"/>
      <c r="CA47" s="413"/>
      <c r="CB47" s="413"/>
      <c r="CC47" s="413"/>
      <c r="CD47" s="413"/>
      <c r="CE47" s="413"/>
      <c r="CF47" s="413"/>
      <c r="CG47" s="413"/>
      <c r="CH47" s="413"/>
      <c r="CI47" s="413"/>
      <c r="CJ47" s="413"/>
      <c r="CK47" s="413"/>
      <c r="CL47" s="413"/>
      <c r="CM47" s="414"/>
      <c r="CN47" s="413"/>
      <c r="CO47" s="413"/>
      <c r="CP47" s="413"/>
      <c r="CQ47" s="413"/>
      <c r="CR47" s="413"/>
      <c r="CS47" s="413"/>
      <c r="CT47" s="413"/>
      <c r="CU47" s="413"/>
      <c r="CV47" s="413"/>
      <c r="CW47" s="414"/>
      <c r="CX47" s="413"/>
      <c r="CY47" s="413"/>
      <c r="CZ47" s="413"/>
      <c r="DA47" s="413"/>
      <c r="DB47" s="413"/>
      <c r="DC47" s="413"/>
      <c r="DD47" s="413"/>
      <c r="DE47" s="413"/>
      <c r="DF47" s="413"/>
      <c r="DG47" s="414"/>
      <c r="DH47" s="413"/>
      <c r="DI47" s="413"/>
      <c r="DJ47" s="413"/>
      <c r="DK47" s="413"/>
      <c r="DL47" s="413"/>
      <c r="DM47" s="413"/>
      <c r="DN47" s="413"/>
      <c r="DO47" s="413"/>
      <c r="DP47" s="413"/>
      <c r="DQ47" s="414"/>
      <c r="DR47" s="413"/>
      <c r="DS47" s="413"/>
      <c r="DT47" s="413"/>
      <c r="DU47" s="413"/>
      <c r="DV47" s="413"/>
      <c r="DW47" s="413"/>
      <c r="DX47" s="413"/>
      <c r="DY47" s="413"/>
      <c r="DZ47" s="413"/>
      <c r="EA47" s="413"/>
      <c r="EB47" s="413"/>
      <c r="EC47" s="413"/>
      <c r="ED47" s="413"/>
      <c r="EE47" s="413"/>
      <c r="EF47" s="413"/>
      <c r="EG47" s="413"/>
      <c r="EH47" s="413"/>
      <c r="EI47" s="413"/>
      <c r="EJ47" s="413"/>
      <c r="EK47" s="413"/>
      <c r="EL47" s="413"/>
      <c r="EM47" s="452"/>
      <c r="EN47" s="413"/>
      <c r="EO47" s="453"/>
      <c r="EP47" s="413"/>
      <c r="EQ47" s="434"/>
      <c r="ER47" s="434"/>
      <c r="ES47" s="434"/>
      <c r="ET47" s="434"/>
      <c r="EU47" s="434"/>
      <c r="EV47" s="434"/>
      <c r="EW47" s="434"/>
      <c r="EX47" s="434"/>
      <c r="EY47" s="434"/>
      <c r="EZ47" s="434"/>
      <c r="FA47" s="434"/>
      <c r="FB47" s="434"/>
      <c r="FC47" s="399"/>
      <c r="FD47" s="399"/>
      <c r="FE47" s="399"/>
      <c r="FF47" s="399"/>
      <c r="FG47" s="415"/>
      <c r="FH47" s="415"/>
      <c r="FI47" s="415"/>
      <c r="FJ47" s="415"/>
      <c r="FK47" s="415"/>
      <c r="FL47" s="415"/>
      <c r="FM47" s="415"/>
    </row>
    <row r="48" spans="1:169" hidden="1">
      <c r="A48" s="410"/>
      <c r="B48" s="57" t="s">
        <v>153</v>
      </c>
      <c r="C48" s="412"/>
      <c r="D48" s="412"/>
      <c r="E48" s="412"/>
      <c r="F48" s="412"/>
      <c r="G48" s="412"/>
      <c r="H48" s="412"/>
      <c r="I48" s="412"/>
      <c r="J48" s="412"/>
      <c r="K48" s="412"/>
      <c r="L48" s="412"/>
      <c r="M48" s="413"/>
      <c r="N48" s="413"/>
      <c r="O48" s="413"/>
      <c r="P48" s="413"/>
      <c r="Q48" s="413"/>
      <c r="R48" s="413"/>
      <c r="S48" s="413"/>
      <c r="T48" s="413"/>
      <c r="U48" s="413"/>
      <c r="V48" s="413"/>
      <c r="W48" s="413"/>
      <c r="X48" s="413"/>
      <c r="Y48" s="413"/>
      <c r="Z48" s="413"/>
      <c r="AA48" s="413"/>
      <c r="AB48" s="413"/>
      <c r="AC48" s="413"/>
      <c r="AD48" s="413"/>
      <c r="AE48" s="413"/>
      <c r="AF48" s="413"/>
      <c r="AG48" s="413"/>
      <c r="AH48" s="413"/>
      <c r="AI48" s="413"/>
      <c r="AJ48" s="413"/>
      <c r="AK48" s="413"/>
      <c r="AL48" s="413"/>
      <c r="AM48" s="413"/>
      <c r="AN48" s="413"/>
      <c r="AO48" s="414"/>
      <c r="AP48" s="413"/>
      <c r="AQ48" s="413"/>
      <c r="AR48" s="413"/>
      <c r="AS48" s="413"/>
      <c r="AT48" s="413"/>
      <c r="AU48" s="413"/>
      <c r="AV48" s="413"/>
      <c r="AW48" s="413"/>
      <c r="AX48" s="413"/>
      <c r="AY48" s="414"/>
      <c r="AZ48" s="413"/>
      <c r="BA48" s="413"/>
      <c r="BB48" s="413"/>
      <c r="BC48" s="413"/>
      <c r="BD48" s="413"/>
      <c r="BE48" s="413"/>
      <c r="BF48" s="413"/>
      <c r="BG48" s="413"/>
      <c r="BH48" s="413"/>
      <c r="BI48" s="414"/>
      <c r="BJ48" s="413"/>
      <c r="BK48" s="413"/>
      <c r="BL48" s="413"/>
      <c r="BM48" s="413"/>
      <c r="BN48" s="413"/>
      <c r="BO48" s="413"/>
      <c r="BP48" s="413"/>
      <c r="BQ48" s="413"/>
      <c r="BR48" s="413"/>
      <c r="BS48" s="413"/>
      <c r="BT48" s="413"/>
      <c r="BU48" s="413"/>
      <c r="BV48" s="413"/>
      <c r="BW48" s="413"/>
      <c r="BX48" s="413"/>
      <c r="BY48" s="413"/>
      <c r="BZ48" s="413"/>
      <c r="CA48" s="413"/>
      <c r="CB48" s="413"/>
      <c r="CC48" s="413"/>
      <c r="CD48" s="413"/>
      <c r="CE48" s="413"/>
      <c r="CF48" s="413"/>
      <c r="CG48" s="413"/>
      <c r="CH48" s="413"/>
      <c r="CI48" s="413"/>
      <c r="CJ48" s="413"/>
      <c r="CK48" s="413"/>
      <c r="CL48" s="413"/>
      <c r="CM48" s="414"/>
      <c r="CN48" s="413"/>
      <c r="CO48" s="413"/>
      <c r="CP48" s="413"/>
      <c r="CQ48" s="413"/>
      <c r="CR48" s="413"/>
      <c r="CS48" s="413"/>
      <c r="CT48" s="413"/>
      <c r="CU48" s="413"/>
      <c r="CV48" s="413"/>
      <c r="CW48" s="414"/>
      <c r="CX48" s="413"/>
      <c r="CY48" s="413"/>
      <c r="CZ48" s="413"/>
      <c r="DA48" s="413"/>
      <c r="DB48" s="413"/>
      <c r="DC48" s="413"/>
      <c r="DD48" s="413"/>
      <c r="DE48" s="413"/>
      <c r="DF48" s="413"/>
      <c r="DG48" s="414"/>
      <c r="DH48" s="413"/>
      <c r="DI48" s="413"/>
      <c r="DJ48" s="413"/>
      <c r="DK48" s="413"/>
      <c r="DL48" s="413"/>
      <c r="DM48" s="413"/>
      <c r="DN48" s="413"/>
      <c r="DO48" s="413"/>
      <c r="DP48" s="413"/>
      <c r="DQ48" s="414"/>
      <c r="DR48" s="413"/>
      <c r="DS48" s="413"/>
      <c r="DT48" s="413"/>
      <c r="DU48" s="413"/>
      <c r="DV48" s="413"/>
      <c r="DW48" s="413"/>
      <c r="DX48" s="413"/>
      <c r="DY48" s="413"/>
      <c r="DZ48" s="413"/>
      <c r="EA48" s="413"/>
      <c r="EB48" s="413"/>
      <c r="EC48" s="413"/>
      <c r="ED48" s="413"/>
      <c r="EE48" s="413"/>
      <c r="EF48" s="413"/>
      <c r="EG48" s="413"/>
      <c r="EH48" s="413"/>
      <c r="EI48" s="413"/>
      <c r="EJ48" s="413"/>
      <c r="EK48" s="413"/>
      <c r="EL48" s="413"/>
      <c r="EM48" s="452"/>
      <c r="EN48" s="413"/>
      <c r="EO48" s="453"/>
      <c r="EP48" s="413"/>
      <c r="EQ48" s="434"/>
      <c r="ER48" s="434"/>
      <c r="ES48" s="434"/>
      <c r="ET48" s="434"/>
      <c r="EU48" s="434"/>
      <c r="EV48" s="434"/>
      <c r="EW48" s="434"/>
      <c r="EX48" s="434"/>
      <c r="EY48" s="434"/>
      <c r="EZ48" s="434"/>
      <c r="FA48" s="434"/>
      <c r="FB48" s="434"/>
      <c r="FC48" s="399"/>
      <c r="FD48" s="399"/>
      <c r="FE48" s="399"/>
      <c r="FF48" s="399"/>
      <c r="FG48" s="415"/>
      <c r="FH48" s="415"/>
      <c r="FI48" s="415"/>
      <c r="FJ48" s="415"/>
      <c r="FK48" s="415"/>
      <c r="FL48" s="415"/>
      <c r="FM48" s="415"/>
    </row>
    <row r="49" spans="1:169" hidden="1">
      <c r="A49" s="410"/>
      <c r="B49" s="57"/>
      <c r="C49" s="412"/>
      <c r="D49" s="412"/>
      <c r="E49" s="412"/>
      <c r="F49" s="412"/>
      <c r="G49" s="412"/>
      <c r="H49" s="412"/>
      <c r="I49" s="412"/>
      <c r="J49" s="412"/>
      <c r="K49" s="412"/>
      <c r="L49" s="412"/>
      <c r="M49" s="413"/>
      <c r="N49" s="413"/>
      <c r="O49" s="413"/>
      <c r="P49" s="413"/>
      <c r="Q49" s="413"/>
      <c r="R49" s="413"/>
      <c r="S49" s="413"/>
      <c r="T49" s="413"/>
      <c r="U49" s="413"/>
      <c r="V49" s="413"/>
      <c r="W49" s="413"/>
      <c r="X49" s="413"/>
      <c r="Y49" s="413"/>
      <c r="Z49" s="413"/>
      <c r="AA49" s="413"/>
      <c r="AB49" s="413"/>
      <c r="AC49" s="413"/>
      <c r="AD49" s="413"/>
      <c r="AE49" s="413"/>
      <c r="AF49" s="413"/>
      <c r="AG49" s="413"/>
      <c r="AH49" s="413"/>
      <c r="AI49" s="413"/>
      <c r="AJ49" s="413"/>
      <c r="AK49" s="413"/>
      <c r="AL49" s="413"/>
      <c r="AM49" s="413"/>
      <c r="AN49" s="413"/>
      <c r="AO49" s="414"/>
      <c r="AP49" s="413"/>
      <c r="AQ49" s="413"/>
      <c r="AR49" s="413"/>
      <c r="AS49" s="413"/>
      <c r="AT49" s="413"/>
      <c r="AU49" s="413"/>
      <c r="AV49" s="413"/>
      <c r="AW49" s="413"/>
      <c r="AX49" s="413"/>
      <c r="AY49" s="414"/>
      <c r="AZ49" s="413"/>
      <c r="BA49" s="413"/>
      <c r="BB49" s="413"/>
      <c r="BC49" s="413"/>
      <c r="BD49" s="413"/>
      <c r="BE49" s="413"/>
      <c r="BF49" s="413"/>
      <c r="BG49" s="413"/>
      <c r="BH49" s="413"/>
      <c r="BI49" s="414"/>
      <c r="BJ49" s="413"/>
      <c r="BK49" s="413"/>
      <c r="BL49" s="413"/>
      <c r="BM49" s="413"/>
      <c r="BN49" s="413"/>
      <c r="BO49" s="413"/>
      <c r="BP49" s="413"/>
      <c r="BQ49" s="413"/>
      <c r="BR49" s="413"/>
      <c r="BS49" s="413"/>
      <c r="BT49" s="413"/>
      <c r="BU49" s="413"/>
      <c r="BV49" s="413"/>
      <c r="BW49" s="413"/>
      <c r="BX49" s="413"/>
      <c r="BY49" s="413"/>
      <c r="BZ49" s="413"/>
      <c r="CA49" s="413"/>
      <c r="CB49" s="413"/>
      <c r="CC49" s="413"/>
      <c r="CD49" s="413"/>
      <c r="CE49" s="413"/>
      <c r="CF49" s="413"/>
      <c r="CG49" s="413"/>
      <c r="CH49" s="413"/>
      <c r="CI49" s="413"/>
      <c r="CJ49" s="413"/>
      <c r="CK49" s="413"/>
      <c r="CL49" s="413"/>
      <c r="CM49" s="414"/>
      <c r="CN49" s="413"/>
      <c r="CO49" s="413"/>
      <c r="CP49" s="413"/>
      <c r="CQ49" s="413"/>
      <c r="CR49" s="413"/>
      <c r="CS49" s="413"/>
      <c r="CT49" s="413"/>
      <c r="CU49" s="413"/>
      <c r="CV49" s="413"/>
      <c r="CW49" s="414"/>
      <c r="CX49" s="413"/>
      <c r="CY49" s="413"/>
      <c r="CZ49" s="413"/>
      <c r="DA49" s="413"/>
      <c r="DB49" s="413"/>
      <c r="DC49" s="413"/>
      <c r="DD49" s="413"/>
      <c r="DE49" s="413"/>
      <c r="DF49" s="413"/>
      <c r="DG49" s="414"/>
      <c r="DH49" s="413"/>
      <c r="DI49" s="413"/>
      <c r="DJ49" s="413"/>
      <c r="DK49" s="413"/>
      <c r="DL49" s="413"/>
      <c r="DM49" s="413"/>
      <c r="DN49" s="413"/>
      <c r="DO49" s="413"/>
      <c r="DP49" s="413"/>
      <c r="DQ49" s="414"/>
      <c r="DR49" s="413"/>
      <c r="DS49" s="413"/>
      <c r="DT49" s="413"/>
      <c r="DU49" s="413"/>
      <c r="DV49" s="413"/>
      <c r="DW49" s="413"/>
      <c r="DX49" s="413"/>
      <c r="DY49" s="413"/>
      <c r="DZ49" s="413"/>
      <c r="EA49" s="413"/>
      <c r="EB49" s="413"/>
      <c r="EC49" s="413"/>
      <c r="ED49" s="413"/>
      <c r="EE49" s="413"/>
      <c r="EF49" s="413"/>
      <c r="EG49" s="413"/>
      <c r="EH49" s="413"/>
      <c r="EI49" s="413"/>
      <c r="EJ49" s="413"/>
      <c r="EK49" s="413"/>
      <c r="EL49" s="413"/>
      <c r="EM49" s="452"/>
      <c r="EN49" s="413"/>
      <c r="EO49" s="453"/>
      <c r="EP49" s="413"/>
      <c r="EQ49" s="434"/>
      <c r="ER49" s="434"/>
      <c r="ES49" s="434"/>
      <c r="ET49" s="434"/>
      <c r="EU49" s="434"/>
      <c r="EV49" s="434"/>
      <c r="EW49" s="434"/>
      <c r="EX49" s="434"/>
      <c r="EY49" s="434"/>
      <c r="EZ49" s="434"/>
      <c r="FA49" s="434"/>
      <c r="FB49" s="434"/>
      <c r="FC49" s="399"/>
      <c r="FD49" s="399"/>
      <c r="FE49" s="399"/>
      <c r="FF49" s="399"/>
      <c r="FG49" s="415"/>
      <c r="FH49" s="415"/>
      <c r="FI49" s="415"/>
      <c r="FJ49" s="415"/>
      <c r="FK49" s="415"/>
      <c r="FL49" s="415"/>
      <c r="FM49" s="415"/>
    </row>
    <row r="50" spans="1:169" hidden="1">
      <c r="A50" s="462" t="s">
        <v>16</v>
      </c>
      <c r="B50" s="57" t="s">
        <v>1322</v>
      </c>
      <c r="C50" s="412"/>
      <c r="D50" s="412"/>
      <c r="E50" s="412"/>
      <c r="F50" s="412"/>
      <c r="G50" s="412"/>
      <c r="H50" s="412"/>
      <c r="I50" s="412"/>
      <c r="J50" s="412"/>
      <c r="K50" s="412"/>
      <c r="L50" s="412"/>
      <c r="M50" s="413"/>
      <c r="N50" s="413"/>
      <c r="O50" s="413"/>
      <c r="P50" s="413"/>
      <c r="Q50" s="413"/>
      <c r="R50" s="413"/>
      <c r="S50" s="413"/>
      <c r="T50" s="413"/>
      <c r="U50" s="413"/>
      <c r="V50" s="413"/>
      <c r="W50" s="413"/>
      <c r="X50" s="413"/>
      <c r="Y50" s="413"/>
      <c r="Z50" s="413"/>
      <c r="AA50" s="413"/>
      <c r="AB50" s="413"/>
      <c r="AC50" s="413"/>
      <c r="AD50" s="413"/>
      <c r="AE50" s="413"/>
      <c r="AF50" s="413"/>
      <c r="AG50" s="413"/>
      <c r="AH50" s="413"/>
      <c r="AI50" s="413"/>
      <c r="AJ50" s="413"/>
      <c r="AK50" s="413"/>
      <c r="AL50" s="413"/>
      <c r="AM50" s="413"/>
      <c r="AN50" s="413"/>
      <c r="AO50" s="414"/>
      <c r="AP50" s="413"/>
      <c r="AQ50" s="413"/>
      <c r="AR50" s="413"/>
      <c r="AS50" s="413"/>
      <c r="AT50" s="413"/>
      <c r="AU50" s="413"/>
      <c r="AV50" s="413"/>
      <c r="AW50" s="413"/>
      <c r="AX50" s="413"/>
      <c r="AY50" s="414"/>
      <c r="AZ50" s="413"/>
      <c r="BA50" s="413"/>
      <c r="BB50" s="413"/>
      <c r="BC50" s="413"/>
      <c r="BD50" s="413"/>
      <c r="BE50" s="413"/>
      <c r="BF50" s="413"/>
      <c r="BG50" s="413"/>
      <c r="BH50" s="413"/>
      <c r="BI50" s="414"/>
      <c r="BJ50" s="413"/>
      <c r="BK50" s="413"/>
      <c r="BL50" s="413"/>
      <c r="BM50" s="413"/>
      <c r="BN50" s="413"/>
      <c r="BO50" s="413"/>
      <c r="BP50" s="413"/>
      <c r="BQ50" s="413"/>
      <c r="BR50" s="413"/>
      <c r="BS50" s="413"/>
      <c r="BT50" s="413"/>
      <c r="BU50" s="413"/>
      <c r="BV50" s="413"/>
      <c r="BW50" s="413"/>
      <c r="BX50" s="413"/>
      <c r="BY50" s="413"/>
      <c r="BZ50" s="413"/>
      <c r="CA50" s="413"/>
      <c r="CB50" s="413"/>
      <c r="CC50" s="413"/>
      <c r="CD50" s="413"/>
      <c r="CE50" s="413"/>
      <c r="CF50" s="413"/>
      <c r="CG50" s="413"/>
      <c r="CH50" s="413"/>
      <c r="CI50" s="413"/>
      <c r="CJ50" s="413"/>
      <c r="CK50" s="413"/>
      <c r="CL50" s="413"/>
      <c r="CM50" s="414"/>
      <c r="CN50" s="413"/>
      <c r="CO50" s="413"/>
      <c r="CP50" s="413"/>
      <c r="CQ50" s="413"/>
      <c r="CR50" s="413"/>
      <c r="CS50" s="413"/>
      <c r="CT50" s="413"/>
      <c r="CU50" s="413"/>
      <c r="CV50" s="413"/>
      <c r="CW50" s="414"/>
      <c r="CX50" s="413"/>
      <c r="CY50" s="413"/>
      <c r="CZ50" s="413"/>
      <c r="DA50" s="413"/>
      <c r="DB50" s="413"/>
      <c r="DC50" s="413"/>
      <c r="DD50" s="413"/>
      <c r="DE50" s="413"/>
      <c r="DF50" s="413"/>
      <c r="DG50" s="414"/>
      <c r="DH50" s="413"/>
      <c r="DI50" s="413"/>
      <c r="DJ50" s="413"/>
      <c r="DK50" s="413"/>
      <c r="DL50" s="413"/>
      <c r="DM50" s="413"/>
      <c r="DN50" s="413"/>
      <c r="DO50" s="413"/>
      <c r="DP50" s="413"/>
      <c r="DQ50" s="414"/>
      <c r="DR50" s="413"/>
      <c r="DS50" s="413"/>
      <c r="DT50" s="413"/>
      <c r="DU50" s="413"/>
      <c r="DV50" s="413"/>
      <c r="DW50" s="413"/>
      <c r="DX50" s="413"/>
      <c r="DY50" s="413"/>
      <c r="DZ50" s="413"/>
      <c r="EA50" s="413"/>
      <c r="EB50" s="413"/>
      <c r="EC50" s="413"/>
      <c r="ED50" s="413"/>
      <c r="EE50" s="413"/>
      <c r="EF50" s="413"/>
      <c r="EG50" s="413"/>
      <c r="EH50" s="413"/>
      <c r="EI50" s="413"/>
      <c r="EJ50" s="413"/>
      <c r="EK50" s="413"/>
      <c r="EL50" s="413"/>
      <c r="EM50" s="452"/>
      <c r="EN50" s="413"/>
      <c r="EO50" s="453"/>
      <c r="EP50" s="413"/>
      <c r="EQ50" s="434"/>
      <c r="ER50" s="434"/>
      <c r="ES50" s="434"/>
      <c r="ET50" s="434"/>
      <c r="EU50" s="434"/>
      <c r="EV50" s="434"/>
      <c r="EW50" s="434"/>
      <c r="EX50" s="434"/>
      <c r="EY50" s="434"/>
      <c r="EZ50" s="434"/>
      <c r="FA50" s="434"/>
      <c r="FB50" s="434"/>
      <c r="FC50" s="399"/>
      <c r="FD50" s="399"/>
      <c r="FE50" s="399"/>
      <c r="FF50" s="399"/>
      <c r="FG50" s="415"/>
      <c r="FH50" s="415"/>
      <c r="FI50" s="415"/>
      <c r="FJ50" s="415"/>
      <c r="FK50" s="415"/>
      <c r="FL50" s="415"/>
      <c r="FM50" s="415"/>
    </row>
    <row r="51" spans="1:169" hidden="1">
      <c r="A51" s="410" t="s">
        <v>82</v>
      </c>
      <c r="B51" s="459" t="s">
        <v>1323</v>
      </c>
      <c r="C51" s="412"/>
      <c r="D51" s="412"/>
      <c r="E51" s="412"/>
      <c r="F51" s="412"/>
      <c r="G51" s="412"/>
      <c r="H51" s="412"/>
      <c r="I51" s="412"/>
      <c r="J51" s="412"/>
      <c r="K51" s="412"/>
      <c r="L51" s="412"/>
      <c r="M51" s="413"/>
      <c r="N51" s="413"/>
      <c r="O51" s="413"/>
      <c r="P51" s="413"/>
      <c r="Q51" s="413"/>
      <c r="R51" s="413"/>
      <c r="S51" s="413"/>
      <c r="T51" s="413"/>
      <c r="U51" s="413"/>
      <c r="V51" s="413"/>
      <c r="W51" s="413"/>
      <c r="X51" s="413"/>
      <c r="Y51" s="413"/>
      <c r="Z51" s="413"/>
      <c r="AA51" s="413"/>
      <c r="AB51" s="413"/>
      <c r="AC51" s="413"/>
      <c r="AD51" s="413"/>
      <c r="AE51" s="413"/>
      <c r="AF51" s="413"/>
      <c r="AG51" s="413"/>
      <c r="AH51" s="413"/>
      <c r="AI51" s="413"/>
      <c r="AJ51" s="413"/>
      <c r="AK51" s="413"/>
      <c r="AL51" s="413"/>
      <c r="AM51" s="413"/>
      <c r="AN51" s="413"/>
      <c r="AO51" s="414"/>
      <c r="AP51" s="413"/>
      <c r="AQ51" s="413"/>
      <c r="AR51" s="413"/>
      <c r="AS51" s="413"/>
      <c r="AT51" s="413"/>
      <c r="AU51" s="413"/>
      <c r="AV51" s="413"/>
      <c r="AW51" s="413"/>
      <c r="AX51" s="413"/>
      <c r="AY51" s="414"/>
      <c r="AZ51" s="413"/>
      <c r="BA51" s="413"/>
      <c r="BB51" s="413"/>
      <c r="BC51" s="413"/>
      <c r="BD51" s="413"/>
      <c r="BE51" s="413"/>
      <c r="BF51" s="413"/>
      <c r="BG51" s="413"/>
      <c r="BH51" s="413"/>
      <c r="BI51" s="414"/>
      <c r="BJ51" s="413"/>
      <c r="BK51" s="413"/>
      <c r="BL51" s="413"/>
      <c r="BM51" s="413"/>
      <c r="BN51" s="413"/>
      <c r="BO51" s="413"/>
      <c r="BP51" s="413"/>
      <c r="BQ51" s="413"/>
      <c r="BR51" s="413"/>
      <c r="BS51" s="413"/>
      <c r="BT51" s="413"/>
      <c r="BU51" s="413"/>
      <c r="BV51" s="413"/>
      <c r="BW51" s="413"/>
      <c r="BX51" s="413"/>
      <c r="BY51" s="413"/>
      <c r="BZ51" s="413"/>
      <c r="CA51" s="413"/>
      <c r="CB51" s="413"/>
      <c r="CC51" s="413"/>
      <c r="CD51" s="413"/>
      <c r="CE51" s="413"/>
      <c r="CF51" s="413"/>
      <c r="CG51" s="413"/>
      <c r="CH51" s="413"/>
      <c r="CI51" s="413"/>
      <c r="CJ51" s="413"/>
      <c r="CK51" s="413"/>
      <c r="CL51" s="413"/>
      <c r="CM51" s="414"/>
      <c r="CN51" s="413"/>
      <c r="CO51" s="413"/>
      <c r="CP51" s="413"/>
      <c r="CQ51" s="413"/>
      <c r="CR51" s="413"/>
      <c r="CS51" s="413"/>
      <c r="CT51" s="413"/>
      <c r="CU51" s="413"/>
      <c r="CV51" s="413"/>
      <c r="CW51" s="414"/>
      <c r="CX51" s="413"/>
      <c r="CY51" s="413"/>
      <c r="CZ51" s="413"/>
      <c r="DA51" s="413"/>
      <c r="DB51" s="413"/>
      <c r="DC51" s="413"/>
      <c r="DD51" s="413"/>
      <c r="DE51" s="413"/>
      <c r="DF51" s="413"/>
      <c r="DG51" s="414"/>
      <c r="DH51" s="413"/>
      <c r="DI51" s="413"/>
      <c r="DJ51" s="413"/>
      <c r="DK51" s="413"/>
      <c r="DL51" s="413"/>
      <c r="DM51" s="413"/>
      <c r="DN51" s="413"/>
      <c r="DO51" s="413"/>
      <c r="DP51" s="413"/>
      <c r="DQ51" s="414"/>
      <c r="DR51" s="413"/>
      <c r="DS51" s="413"/>
      <c r="DT51" s="413"/>
      <c r="DU51" s="413"/>
      <c r="DV51" s="413"/>
      <c r="DW51" s="413"/>
      <c r="DX51" s="413"/>
      <c r="DY51" s="413"/>
      <c r="DZ51" s="413"/>
      <c r="EA51" s="413"/>
      <c r="EB51" s="413"/>
      <c r="EC51" s="413"/>
      <c r="ED51" s="413"/>
      <c r="EE51" s="413"/>
      <c r="EF51" s="413"/>
      <c r="EG51" s="413"/>
      <c r="EH51" s="413"/>
      <c r="EI51" s="413"/>
      <c r="EJ51" s="413"/>
      <c r="EK51" s="413"/>
      <c r="EL51" s="413"/>
      <c r="EM51" s="452"/>
      <c r="EN51" s="413"/>
      <c r="EO51" s="453"/>
      <c r="EP51" s="413"/>
      <c r="EQ51" s="434"/>
      <c r="ER51" s="434"/>
      <c r="ES51" s="434"/>
      <c r="ET51" s="434"/>
      <c r="EU51" s="434"/>
      <c r="EV51" s="434"/>
      <c r="EW51" s="434"/>
      <c r="EX51" s="434"/>
      <c r="EY51" s="434"/>
      <c r="EZ51" s="434"/>
      <c r="FA51" s="434"/>
      <c r="FB51" s="434"/>
      <c r="FC51" s="399"/>
      <c r="FD51" s="399"/>
      <c r="FE51" s="399"/>
      <c r="FF51" s="399"/>
      <c r="FG51" s="415"/>
      <c r="FH51" s="415"/>
      <c r="FI51" s="415"/>
      <c r="FJ51" s="415"/>
      <c r="FK51" s="415"/>
      <c r="FL51" s="415"/>
      <c r="FM51" s="415"/>
    </row>
    <row r="52" spans="1:169" hidden="1">
      <c r="A52" s="410" t="s">
        <v>83</v>
      </c>
      <c r="B52" s="459" t="s">
        <v>1324</v>
      </c>
      <c r="C52" s="412"/>
      <c r="D52" s="412"/>
      <c r="E52" s="412"/>
      <c r="F52" s="412"/>
      <c r="G52" s="412"/>
      <c r="H52" s="412"/>
      <c r="I52" s="412"/>
      <c r="J52" s="412"/>
      <c r="K52" s="412"/>
      <c r="L52" s="412"/>
      <c r="M52" s="413"/>
      <c r="N52" s="413"/>
      <c r="O52" s="413"/>
      <c r="P52" s="413"/>
      <c r="Q52" s="413"/>
      <c r="R52" s="413"/>
      <c r="S52" s="413"/>
      <c r="T52" s="413"/>
      <c r="U52" s="413"/>
      <c r="V52" s="413"/>
      <c r="W52" s="413"/>
      <c r="X52" s="413"/>
      <c r="Y52" s="413"/>
      <c r="Z52" s="413"/>
      <c r="AA52" s="413"/>
      <c r="AB52" s="413"/>
      <c r="AC52" s="413"/>
      <c r="AD52" s="413"/>
      <c r="AE52" s="413"/>
      <c r="AF52" s="413"/>
      <c r="AG52" s="413"/>
      <c r="AH52" s="413"/>
      <c r="AI52" s="413"/>
      <c r="AJ52" s="413"/>
      <c r="AK52" s="413"/>
      <c r="AL52" s="413"/>
      <c r="AM52" s="413"/>
      <c r="AN52" s="413"/>
      <c r="AO52" s="414"/>
      <c r="AP52" s="413"/>
      <c r="AQ52" s="413"/>
      <c r="AR52" s="413"/>
      <c r="AS52" s="413"/>
      <c r="AT52" s="413"/>
      <c r="AU52" s="413"/>
      <c r="AV52" s="413"/>
      <c r="AW52" s="413"/>
      <c r="AX52" s="413"/>
      <c r="AY52" s="414"/>
      <c r="AZ52" s="413"/>
      <c r="BA52" s="413"/>
      <c r="BB52" s="413"/>
      <c r="BC52" s="413"/>
      <c r="BD52" s="413"/>
      <c r="BE52" s="413"/>
      <c r="BF52" s="413"/>
      <c r="BG52" s="413"/>
      <c r="BH52" s="413"/>
      <c r="BI52" s="414"/>
      <c r="BJ52" s="413"/>
      <c r="BK52" s="413"/>
      <c r="BL52" s="413"/>
      <c r="BM52" s="413"/>
      <c r="BN52" s="413"/>
      <c r="BO52" s="413"/>
      <c r="BP52" s="413"/>
      <c r="BQ52" s="413"/>
      <c r="BR52" s="413"/>
      <c r="BS52" s="413"/>
      <c r="BT52" s="413"/>
      <c r="BU52" s="413"/>
      <c r="BV52" s="413"/>
      <c r="BW52" s="413"/>
      <c r="BX52" s="413"/>
      <c r="BY52" s="413"/>
      <c r="BZ52" s="413"/>
      <c r="CA52" s="413"/>
      <c r="CB52" s="413"/>
      <c r="CC52" s="413"/>
      <c r="CD52" s="413"/>
      <c r="CE52" s="413"/>
      <c r="CF52" s="413"/>
      <c r="CG52" s="413"/>
      <c r="CH52" s="413"/>
      <c r="CI52" s="413"/>
      <c r="CJ52" s="413"/>
      <c r="CK52" s="413"/>
      <c r="CL52" s="413"/>
      <c r="CM52" s="414"/>
      <c r="CN52" s="413"/>
      <c r="CO52" s="413"/>
      <c r="CP52" s="413"/>
      <c r="CQ52" s="413"/>
      <c r="CR52" s="413"/>
      <c r="CS52" s="413"/>
      <c r="CT52" s="413"/>
      <c r="CU52" s="413"/>
      <c r="CV52" s="413"/>
      <c r="CW52" s="414"/>
      <c r="CX52" s="413"/>
      <c r="CY52" s="413"/>
      <c r="CZ52" s="413"/>
      <c r="DA52" s="413"/>
      <c r="DB52" s="413"/>
      <c r="DC52" s="413"/>
      <c r="DD52" s="413"/>
      <c r="DE52" s="413"/>
      <c r="DF52" s="413"/>
      <c r="DG52" s="414"/>
      <c r="DH52" s="413"/>
      <c r="DI52" s="413"/>
      <c r="DJ52" s="413"/>
      <c r="DK52" s="413"/>
      <c r="DL52" s="413"/>
      <c r="DM52" s="413"/>
      <c r="DN52" s="413"/>
      <c r="DO52" s="413"/>
      <c r="DP52" s="413"/>
      <c r="DQ52" s="414"/>
      <c r="DR52" s="413"/>
      <c r="DS52" s="413"/>
      <c r="DT52" s="413"/>
      <c r="DU52" s="413"/>
      <c r="DV52" s="413"/>
      <c r="DW52" s="413"/>
      <c r="DX52" s="413"/>
      <c r="DY52" s="413"/>
      <c r="DZ52" s="413"/>
      <c r="EA52" s="413"/>
      <c r="EB52" s="413"/>
      <c r="EC52" s="413"/>
      <c r="ED52" s="413"/>
      <c r="EE52" s="413"/>
      <c r="EF52" s="413"/>
      <c r="EG52" s="413"/>
      <c r="EH52" s="413"/>
      <c r="EI52" s="413"/>
      <c r="EJ52" s="413"/>
      <c r="EK52" s="413"/>
      <c r="EL52" s="413"/>
      <c r="EM52" s="452"/>
      <c r="EN52" s="413"/>
      <c r="EO52" s="453"/>
      <c r="EP52" s="413"/>
      <c r="EQ52" s="434"/>
      <c r="ER52" s="434"/>
      <c r="ES52" s="434"/>
      <c r="ET52" s="434"/>
      <c r="EU52" s="434"/>
      <c r="EV52" s="434"/>
      <c r="EW52" s="434"/>
      <c r="EX52" s="434"/>
      <c r="EY52" s="434"/>
      <c r="EZ52" s="434"/>
      <c r="FA52" s="434"/>
      <c r="FB52" s="434"/>
      <c r="FC52" s="399"/>
      <c r="FD52" s="399"/>
      <c r="FE52" s="399"/>
      <c r="FF52" s="399"/>
      <c r="FG52" s="415"/>
      <c r="FH52" s="415"/>
      <c r="FI52" s="415"/>
      <c r="FJ52" s="415"/>
      <c r="FK52" s="415"/>
      <c r="FL52" s="415"/>
      <c r="FM52" s="415"/>
    </row>
    <row r="53" spans="1:169" hidden="1">
      <c r="A53" s="410" t="s">
        <v>86</v>
      </c>
      <c r="B53" s="459"/>
      <c r="C53" s="412"/>
      <c r="D53" s="412"/>
      <c r="E53" s="412"/>
      <c r="F53" s="412"/>
      <c r="G53" s="412"/>
      <c r="H53" s="412"/>
      <c r="I53" s="412"/>
      <c r="J53" s="412"/>
      <c r="K53" s="412"/>
      <c r="L53" s="412"/>
      <c r="M53" s="413"/>
      <c r="N53" s="413"/>
      <c r="O53" s="413"/>
      <c r="P53" s="413"/>
      <c r="Q53" s="413"/>
      <c r="R53" s="413"/>
      <c r="S53" s="413"/>
      <c r="T53" s="413"/>
      <c r="U53" s="413"/>
      <c r="V53" s="413"/>
      <c r="W53" s="413"/>
      <c r="X53" s="413"/>
      <c r="Y53" s="413"/>
      <c r="Z53" s="413"/>
      <c r="AA53" s="413"/>
      <c r="AB53" s="413"/>
      <c r="AC53" s="413"/>
      <c r="AD53" s="413"/>
      <c r="AE53" s="413"/>
      <c r="AF53" s="413"/>
      <c r="AG53" s="413"/>
      <c r="AH53" s="413"/>
      <c r="AI53" s="413"/>
      <c r="AJ53" s="413"/>
      <c r="AK53" s="413"/>
      <c r="AL53" s="413"/>
      <c r="AM53" s="413"/>
      <c r="AN53" s="413"/>
      <c r="AO53" s="414"/>
      <c r="AP53" s="413"/>
      <c r="AQ53" s="413"/>
      <c r="AR53" s="413"/>
      <c r="AS53" s="413"/>
      <c r="AT53" s="413"/>
      <c r="AU53" s="413"/>
      <c r="AV53" s="413"/>
      <c r="AW53" s="413"/>
      <c r="AX53" s="413"/>
      <c r="AY53" s="414"/>
      <c r="AZ53" s="413"/>
      <c r="BA53" s="413"/>
      <c r="BB53" s="413"/>
      <c r="BC53" s="413"/>
      <c r="BD53" s="413"/>
      <c r="BE53" s="413"/>
      <c r="BF53" s="413"/>
      <c r="BG53" s="413"/>
      <c r="BH53" s="413"/>
      <c r="BI53" s="414"/>
      <c r="BJ53" s="413"/>
      <c r="BK53" s="413"/>
      <c r="BL53" s="413"/>
      <c r="BM53" s="413"/>
      <c r="BN53" s="413"/>
      <c r="BO53" s="413"/>
      <c r="BP53" s="413"/>
      <c r="BQ53" s="413"/>
      <c r="BR53" s="413"/>
      <c r="BS53" s="413"/>
      <c r="BT53" s="413"/>
      <c r="BU53" s="413"/>
      <c r="BV53" s="413"/>
      <c r="BW53" s="413"/>
      <c r="BX53" s="413"/>
      <c r="BY53" s="413"/>
      <c r="BZ53" s="413"/>
      <c r="CA53" s="413"/>
      <c r="CB53" s="413"/>
      <c r="CC53" s="413"/>
      <c r="CD53" s="413"/>
      <c r="CE53" s="413"/>
      <c r="CF53" s="413"/>
      <c r="CG53" s="413"/>
      <c r="CH53" s="413"/>
      <c r="CI53" s="413"/>
      <c r="CJ53" s="413"/>
      <c r="CK53" s="413"/>
      <c r="CL53" s="413"/>
      <c r="CM53" s="414"/>
      <c r="CN53" s="413"/>
      <c r="CO53" s="413"/>
      <c r="CP53" s="413"/>
      <c r="CQ53" s="413"/>
      <c r="CR53" s="413"/>
      <c r="CS53" s="413"/>
      <c r="CT53" s="413"/>
      <c r="CU53" s="413"/>
      <c r="CV53" s="413"/>
      <c r="CW53" s="414"/>
      <c r="CX53" s="413"/>
      <c r="CY53" s="413"/>
      <c r="CZ53" s="413"/>
      <c r="DA53" s="413"/>
      <c r="DB53" s="413"/>
      <c r="DC53" s="413"/>
      <c r="DD53" s="413"/>
      <c r="DE53" s="413"/>
      <c r="DF53" s="413"/>
      <c r="DG53" s="414"/>
      <c r="DH53" s="413"/>
      <c r="DI53" s="413"/>
      <c r="DJ53" s="413"/>
      <c r="DK53" s="413"/>
      <c r="DL53" s="413"/>
      <c r="DM53" s="413"/>
      <c r="DN53" s="413"/>
      <c r="DO53" s="413"/>
      <c r="DP53" s="413"/>
      <c r="DQ53" s="414"/>
      <c r="DR53" s="413"/>
      <c r="DS53" s="413"/>
      <c r="DT53" s="413"/>
      <c r="DU53" s="413"/>
      <c r="DV53" s="413"/>
      <c r="DW53" s="413"/>
      <c r="DX53" s="413"/>
      <c r="DY53" s="413"/>
      <c r="DZ53" s="413"/>
      <c r="EA53" s="413"/>
      <c r="EB53" s="413"/>
      <c r="EC53" s="413"/>
      <c r="ED53" s="413"/>
      <c r="EE53" s="413"/>
      <c r="EF53" s="413"/>
      <c r="EG53" s="413"/>
      <c r="EH53" s="413"/>
      <c r="EI53" s="413"/>
      <c r="EJ53" s="413"/>
      <c r="EK53" s="413"/>
      <c r="EL53" s="413"/>
      <c r="EM53" s="452"/>
      <c r="EN53" s="413"/>
      <c r="EO53" s="453"/>
      <c r="EP53" s="413"/>
      <c r="EQ53" s="434"/>
      <c r="ER53" s="434"/>
      <c r="ES53" s="434"/>
      <c r="ET53" s="434"/>
      <c r="EU53" s="434"/>
      <c r="EV53" s="434"/>
      <c r="EW53" s="434"/>
      <c r="EX53" s="434"/>
      <c r="EY53" s="434"/>
      <c r="EZ53" s="434"/>
      <c r="FA53" s="434"/>
      <c r="FB53" s="434"/>
      <c r="FC53" s="399"/>
      <c r="FD53" s="399"/>
      <c r="FE53" s="399"/>
      <c r="FF53" s="399"/>
      <c r="FG53" s="415"/>
      <c r="FH53" s="415"/>
      <c r="FI53" s="415"/>
      <c r="FJ53" s="415"/>
      <c r="FK53" s="415"/>
      <c r="FL53" s="415"/>
      <c r="FM53" s="415"/>
    </row>
    <row r="54" spans="1:169" hidden="1">
      <c r="A54" s="410"/>
      <c r="B54" s="57" t="s">
        <v>153</v>
      </c>
      <c r="C54" s="412"/>
      <c r="D54" s="412"/>
      <c r="E54" s="412"/>
      <c r="F54" s="412"/>
      <c r="G54" s="412"/>
      <c r="H54" s="412"/>
      <c r="I54" s="412"/>
      <c r="J54" s="412"/>
      <c r="K54" s="412"/>
      <c r="L54" s="412"/>
      <c r="M54" s="413"/>
      <c r="N54" s="413"/>
      <c r="O54" s="413"/>
      <c r="P54" s="413"/>
      <c r="Q54" s="413"/>
      <c r="R54" s="413"/>
      <c r="S54" s="413"/>
      <c r="T54" s="413"/>
      <c r="U54" s="413"/>
      <c r="V54" s="413"/>
      <c r="W54" s="413"/>
      <c r="X54" s="413"/>
      <c r="Y54" s="413"/>
      <c r="Z54" s="413"/>
      <c r="AA54" s="413"/>
      <c r="AB54" s="413"/>
      <c r="AC54" s="413"/>
      <c r="AD54" s="413"/>
      <c r="AE54" s="413"/>
      <c r="AF54" s="413"/>
      <c r="AG54" s="413"/>
      <c r="AH54" s="413"/>
      <c r="AI54" s="413"/>
      <c r="AJ54" s="413"/>
      <c r="AK54" s="413"/>
      <c r="AL54" s="413"/>
      <c r="AM54" s="413"/>
      <c r="AN54" s="413"/>
      <c r="AO54" s="414"/>
      <c r="AP54" s="413"/>
      <c r="AQ54" s="413"/>
      <c r="AR54" s="413"/>
      <c r="AS54" s="413"/>
      <c r="AT54" s="413"/>
      <c r="AU54" s="413"/>
      <c r="AV54" s="413"/>
      <c r="AW54" s="413"/>
      <c r="AX54" s="413"/>
      <c r="AY54" s="414"/>
      <c r="AZ54" s="413"/>
      <c r="BA54" s="413"/>
      <c r="BB54" s="413"/>
      <c r="BC54" s="413"/>
      <c r="BD54" s="413"/>
      <c r="BE54" s="413"/>
      <c r="BF54" s="413"/>
      <c r="BG54" s="413"/>
      <c r="BH54" s="413"/>
      <c r="BI54" s="414"/>
      <c r="BJ54" s="413"/>
      <c r="BK54" s="413"/>
      <c r="BL54" s="413"/>
      <c r="BM54" s="413"/>
      <c r="BN54" s="413"/>
      <c r="BO54" s="413"/>
      <c r="BP54" s="413"/>
      <c r="BQ54" s="413"/>
      <c r="BR54" s="413"/>
      <c r="BS54" s="413"/>
      <c r="BT54" s="413"/>
      <c r="BU54" s="413"/>
      <c r="BV54" s="413"/>
      <c r="BW54" s="413"/>
      <c r="BX54" s="413"/>
      <c r="BY54" s="413"/>
      <c r="BZ54" s="413"/>
      <c r="CA54" s="413"/>
      <c r="CB54" s="413"/>
      <c r="CC54" s="413"/>
      <c r="CD54" s="413"/>
      <c r="CE54" s="413"/>
      <c r="CF54" s="413"/>
      <c r="CG54" s="413"/>
      <c r="CH54" s="413"/>
      <c r="CI54" s="413"/>
      <c r="CJ54" s="413"/>
      <c r="CK54" s="413"/>
      <c r="CL54" s="413"/>
      <c r="CM54" s="414"/>
      <c r="CN54" s="413"/>
      <c r="CO54" s="413"/>
      <c r="CP54" s="413"/>
      <c r="CQ54" s="413"/>
      <c r="CR54" s="413"/>
      <c r="CS54" s="413"/>
      <c r="CT54" s="413"/>
      <c r="CU54" s="413"/>
      <c r="CV54" s="413"/>
      <c r="CW54" s="414"/>
      <c r="CX54" s="413"/>
      <c r="CY54" s="413"/>
      <c r="CZ54" s="413"/>
      <c r="DA54" s="413"/>
      <c r="DB54" s="413"/>
      <c r="DC54" s="413"/>
      <c r="DD54" s="413"/>
      <c r="DE54" s="413"/>
      <c r="DF54" s="413"/>
      <c r="DG54" s="414"/>
      <c r="DH54" s="413"/>
      <c r="DI54" s="413"/>
      <c r="DJ54" s="413"/>
      <c r="DK54" s="413"/>
      <c r="DL54" s="413"/>
      <c r="DM54" s="413"/>
      <c r="DN54" s="413"/>
      <c r="DO54" s="413"/>
      <c r="DP54" s="413"/>
      <c r="DQ54" s="414"/>
      <c r="DR54" s="413"/>
      <c r="DS54" s="413"/>
      <c r="DT54" s="413"/>
      <c r="DU54" s="413"/>
      <c r="DV54" s="413"/>
      <c r="DW54" s="413"/>
      <c r="DX54" s="413"/>
      <c r="DY54" s="413"/>
      <c r="DZ54" s="413"/>
      <c r="EA54" s="413"/>
      <c r="EB54" s="413"/>
      <c r="EC54" s="413"/>
      <c r="ED54" s="413"/>
      <c r="EE54" s="413"/>
      <c r="EF54" s="413"/>
      <c r="EG54" s="413"/>
      <c r="EH54" s="413"/>
      <c r="EI54" s="413"/>
      <c r="EJ54" s="413"/>
      <c r="EK54" s="413"/>
      <c r="EL54" s="413"/>
      <c r="EM54" s="452"/>
      <c r="EN54" s="413"/>
      <c r="EO54" s="453"/>
      <c r="EP54" s="413"/>
      <c r="EQ54" s="434"/>
      <c r="ER54" s="434"/>
      <c r="ES54" s="434"/>
      <c r="ET54" s="434"/>
      <c r="EU54" s="434"/>
      <c r="EV54" s="434"/>
      <c r="EW54" s="434"/>
      <c r="EX54" s="434"/>
      <c r="EY54" s="434"/>
      <c r="EZ54" s="434"/>
      <c r="FA54" s="434"/>
      <c r="FB54" s="434"/>
      <c r="FC54" s="399"/>
      <c r="FD54" s="399"/>
      <c r="FE54" s="399"/>
      <c r="FF54" s="399"/>
      <c r="FG54" s="415"/>
      <c r="FH54" s="415"/>
      <c r="FI54" s="415"/>
      <c r="FJ54" s="415"/>
      <c r="FK54" s="415"/>
      <c r="FL54" s="415"/>
      <c r="FM54" s="415"/>
    </row>
    <row r="55" spans="1:169" hidden="1">
      <c r="A55" s="410"/>
      <c r="B55" s="57"/>
      <c r="C55" s="412"/>
      <c r="D55" s="412"/>
      <c r="E55" s="412"/>
      <c r="F55" s="412"/>
      <c r="G55" s="412"/>
      <c r="H55" s="412"/>
      <c r="I55" s="412"/>
      <c r="J55" s="412"/>
      <c r="K55" s="412"/>
      <c r="L55" s="412"/>
      <c r="M55" s="413"/>
      <c r="N55" s="413"/>
      <c r="O55" s="413"/>
      <c r="P55" s="413"/>
      <c r="Q55" s="413"/>
      <c r="R55" s="413"/>
      <c r="S55" s="413"/>
      <c r="T55" s="413"/>
      <c r="U55" s="413"/>
      <c r="V55" s="413"/>
      <c r="W55" s="413"/>
      <c r="X55" s="413"/>
      <c r="Y55" s="413"/>
      <c r="Z55" s="413"/>
      <c r="AA55" s="413"/>
      <c r="AB55" s="413"/>
      <c r="AC55" s="413"/>
      <c r="AD55" s="413"/>
      <c r="AE55" s="413"/>
      <c r="AF55" s="413"/>
      <c r="AG55" s="413"/>
      <c r="AH55" s="413"/>
      <c r="AI55" s="413"/>
      <c r="AJ55" s="413"/>
      <c r="AK55" s="413"/>
      <c r="AL55" s="413"/>
      <c r="AM55" s="413"/>
      <c r="AN55" s="413"/>
      <c r="AO55" s="414"/>
      <c r="AP55" s="413"/>
      <c r="AQ55" s="413"/>
      <c r="AR55" s="413"/>
      <c r="AS55" s="413"/>
      <c r="AT55" s="413"/>
      <c r="AU55" s="413"/>
      <c r="AV55" s="413"/>
      <c r="AW55" s="413"/>
      <c r="AX55" s="413"/>
      <c r="AY55" s="414"/>
      <c r="AZ55" s="413"/>
      <c r="BA55" s="413"/>
      <c r="BB55" s="413"/>
      <c r="BC55" s="413"/>
      <c r="BD55" s="413"/>
      <c r="BE55" s="413"/>
      <c r="BF55" s="413"/>
      <c r="BG55" s="413"/>
      <c r="BH55" s="413"/>
      <c r="BI55" s="414"/>
      <c r="BJ55" s="413"/>
      <c r="BK55" s="413"/>
      <c r="BL55" s="413"/>
      <c r="BM55" s="413"/>
      <c r="BN55" s="413"/>
      <c r="BO55" s="413"/>
      <c r="BP55" s="413"/>
      <c r="BQ55" s="413"/>
      <c r="BR55" s="413"/>
      <c r="BS55" s="413"/>
      <c r="BT55" s="413"/>
      <c r="BU55" s="413"/>
      <c r="BV55" s="413"/>
      <c r="BW55" s="413"/>
      <c r="BX55" s="413"/>
      <c r="BY55" s="413"/>
      <c r="BZ55" s="413"/>
      <c r="CA55" s="413"/>
      <c r="CB55" s="413"/>
      <c r="CC55" s="413"/>
      <c r="CD55" s="413"/>
      <c r="CE55" s="413"/>
      <c r="CF55" s="413"/>
      <c r="CG55" s="413"/>
      <c r="CH55" s="413"/>
      <c r="CI55" s="413"/>
      <c r="CJ55" s="413"/>
      <c r="CK55" s="413"/>
      <c r="CL55" s="413"/>
      <c r="CM55" s="414"/>
      <c r="CN55" s="413"/>
      <c r="CO55" s="413"/>
      <c r="CP55" s="413"/>
      <c r="CQ55" s="413"/>
      <c r="CR55" s="413"/>
      <c r="CS55" s="413"/>
      <c r="CT55" s="413"/>
      <c r="CU55" s="413"/>
      <c r="CV55" s="413"/>
      <c r="CW55" s="414"/>
      <c r="CX55" s="413"/>
      <c r="CY55" s="413"/>
      <c r="CZ55" s="413"/>
      <c r="DA55" s="413"/>
      <c r="DB55" s="413"/>
      <c r="DC55" s="413"/>
      <c r="DD55" s="413"/>
      <c r="DE55" s="413"/>
      <c r="DF55" s="413"/>
      <c r="DG55" s="414"/>
      <c r="DH55" s="413"/>
      <c r="DI55" s="413"/>
      <c r="DJ55" s="413"/>
      <c r="DK55" s="413"/>
      <c r="DL55" s="413"/>
      <c r="DM55" s="413"/>
      <c r="DN55" s="413"/>
      <c r="DO55" s="413"/>
      <c r="DP55" s="413"/>
      <c r="DQ55" s="414"/>
      <c r="DR55" s="413"/>
      <c r="DS55" s="413"/>
      <c r="DT55" s="413"/>
      <c r="DU55" s="413"/>
      <c r="DV55" s="413"/>
      <c r="DW55" s="413"/>
      <c r="DX55" s="413"/>
      <c r="DY55" s="413"/>
      <c r="DZ55" s="413"/>
      <c r="EA55" s="413"/>
      <c r="EB55" s="413"/>
      <c r="EC55" s="413"/>
      <c r="ED55" s="413"/>
      <c r="EE55" s="413"/>
      <c r="EF55" s="413"/>
      <c r="EG55" s="413"/>
      <c r="EH55" s="413"/>
      <c r="EI55" s="413"/>
      <c r="EJ55" s="413"/>
      <c r="EK55" s="413"/>
      <c r="EL55" s="413"/>
      <c r="EM55" s="452"/>
      <c r="EN55" s="413"/>
      <c r="EO55" s="453"/>
      <c r="EP55" s="413"/>
      <c r="EQ55" s="434"/>
      <c r="ER55" s="434"/>
      <c r="ES55" s="434"/>
      <c r="ET55" s="434"/>
      <c r="EU55" s="434"/>
      <c r="EV55" s="434"/>
      <c r="EW55" s="434"/>
      <c r="EX55" s="434"/>
      <c r="EY55" s="434"/>
      <c r="EZ55" s="434"/>
      <c r="FA55" s="434"/>
      <c r="FB55" s="434"/>
      <c r="FC55" s="399"/>
      <c r="FD55" s="399"/>
      <c r="FE55" s="399"/>
      <c r="FF55" s="399"/>
      <c r="FG55" s="415"/>
      <c r="FH55" s="415"/>
      <c r="FI55" s="415"/>
      <c r="FJ55" s="415"/>
      <c r="FK55" s="415"/>
      <c r="FL55" s="415"/>
      <c r="FM55" s="415"/>
    </row>
    <row r="56" spans="1:169" hidden="1">
      <c r="A56" s="462" t="s">
        <v>17</v>
      </c>
      <c r="B56" s="57" t="s">
        <v>1325</v>
      </c>
      <c r="C56" s="412"/>
      <c r="D56" s="412"/>
      <c r="E56" s="412"/>
      <c r="F56" s="412"/>
      <c r="G56" s="412"/>
      <c r="H56" s="412"/>
      <c r="I56" s="412"/>
      <c r="J56" s="412"/>
      <c r="K56" s="412"/>
      <c r="L56" s="412"/>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3"/>
      <c r="AO56" s="414"/>
      <c r="AP56" s="413"/>
      <c r="AQ56" s="413"/>
      <c r="AR56" s="413"/>
      <c r="AS56" s="413"/>
      <c r="AT56" s="413"/>
      <c r="AU56" s="413"/>
      <c r="AV56" s="413"/>
      <c r="AW56" s="413"/>
      <c r="AX56" s="413"/>
      <c r="AY56" s="414"/>
      <c r="AZ56" s="413"/>
      <c r="BA56" s="413"/>
      <c r="BB56" s="413"/>
      <c r="BC56" s="413"/>
      <c r="BD56" s="413"/>
      <c r="BE56" s="413"/>
      <c r="BF56" s="413"/>
      <c r="BG56" s="413"/>
      <c r="BH56" s="413"/>
      <c r="BI56" s="414"/>
      <c r="BJ56" s="413"/>
      <c r="BK56" s="413"/>
      <c r="BL56" s="413"/>
      <c r="BM56" s="413"/>
      <c r="BN56" s="413"/>
      <c r="BO56" s="413"/>
      <c r="BP56" s="413"/>
      <c r="BQ56" s="413"/>
      <c r="BR56" s="413"/>
      <c r="BS56" s="413"/>
      <c r="BT56" s="413"/>
      <c r="BU56" s="413"/>
      <c r="BV56" s="413"/>
      <c r="BW56" s="413"/>
      <c r="BX56" s="413"/>
      <c r="BY56" s="413"/>
      <c r="BZ56" s="413"/>
      <c r="CA56" s="413"/>
      <c r="CB56" s="413"/>
      <c r="CC56" s="413"/>
      <c r="CD56" s="413"/>
      <c r="CE56" s="413"/>
      <c r="CF56" s="413"/>
      <c r="CG56" s="413"/>
      <c r="CH56" s="413"/>
      <c r="CI56" s="413"/>
      <c r="CJ56" s="413"/>
      <c r="CK56" s="413"/>
      <c r="CL56" s="413"/>
      <c r="CM56" s="414"/>
      <c r="CN56" s="413"/>
      <c r="CO56" s="413"/>
      <c r="CP56" s="413"/>
      <c r="CQ56" s="413"/>
      <c r="CR56" s="413"/>
      <c r="CS56" s="413"/>
      <c r="CT56" s="413"/>
      <c r="CU56" s="413"/>
      <c r="CV56" s="413"/>
      <c r="CW56" s="414"/>
      <c r="CX56" s="413"/>
      <c r="CY56" s="413"/>
      <c r="CZ56" s="413"/>
      <c r="DA56" s="413"/>
      <c r="DB56" s="413"/>
      <c r="DC56" s="413"/>
      <c r="DD56" s="413"/>
      <c r="DE56" s="413"/>
      <c r="DF56" s="413"/>
      <c r="DG56" s="414"/>
      <c r="DH56" s="413"/>
      <c r="DI56" s="413"/>
      <c r="DJ56" s="413"/>
      <c r="DK56" s="413"/>
      <c r="DL56" s="413"/>
      <c r="DM56" s="413"/>
      <c r="DN56" s="413"/>
      <c r="DO56" s="413"/>
      <c r="DP56" s="413"/>
      <c r="DQ56" s="414"/>
      <c r="DR56" s="413"/>
      <c r="DS56" s="413"/>
      <c r="DT56" s="413"/>
      <c r="DU56" s="413"/>
      <c r="DV56" s="413"/>
      <c r="DW56" s="413"/>
      <c r="DX56" s="413"/>
      <c r="DY56" s="413"/>
      <c r="DZ56" s="413"/>
      <c r="EA56" s="413"/>
      <c r="EB56" s="413"/>
      <c r="EC56" s="413"/>
      <c r="ED56" s="413"/>
      <c r="EE56" s="413"/>
      <c r="EF56" s="413"/>
      <c r="EG56" s="413"/>
      <c r="EH56" s="413"/>
      <c r="EI56" s="413"/>
      <c r="EJ56" s="413"/>
      <c r="EK56" s="413"/>
      <c r="EL56" s="413"/>
      <c r="EM56" s="452"/>
      <c r="EN56" s="413"/>
      <c r="EO56" s="453"/>
      <c r="EP56" s="413"/>
      <c r="EQ56" s="434"/>
      <c r="ER56" s="434"/>
      <c r="ES56" s="434"/>
      <c r="ET56" s="434"/>
      <c r="EU56" s="434"/>
      <c r="EV56" s="434"/>
      <c r="EW56" s="434"/>
      <c r="EX56" s="434"/>
      <c r="EY56" s="434"/>
      <c r="EZ56" s="434"/>
      <c r="FA56" s="434"/>
      <c r="FB56" s="434"/>
      <c r="FC56" s="399"/>
      <c r="FD56" s="399"/>
      <c r="FE56" s="399"/>
      <c r="FF56" s="399"/>
      <c r="FG56" s="415"/>
      <c r="FH56" s="415"/>
      <c r="FI56" s="415"/>
      <c r="FJ56" s="415"/>
      <c r="FK56" s="415"/>
      <c r="FL56" s="415"/>
      <c r="FM56" s="415"/>
    </row>
    <row r="57" spans="1:169" hidden="1">
      <c r="A57" s="410" t="s">
        <v>82</v>
      </c>
      <c r="B57" s="459" t="s">
        <v>1326</v>
      </c>
      <c r="C57" s="412"/>
      <c r="D57" s="412"/>
      <c r="E57" s="412"/>
      <c r="F57" s="412"/>
      <c r="G57" s="412"/>
      <c r="H57" s="412"/>
      <c r="I57" s="412"/>
      <c r="J57" s="412"/>
      <c r="K57" s="412"/>
      <c r="L57" s="412"/>
      <c r="M57" s="413"/>
      <c r="N57" s="413"/>
      <c r="O57" s="413"/>
      <c r="P57" s="413"/>
      <c r="Q57" s="413"/>
      <c r="R57" s="413"/>
      <c r="S57" s="413"/>
      <c r="T57" s="413"/>
      <c r="U57" s="413"/>
      <c r="V57" s="413"/>
      <c r="W57" s="413"/>
      <c r="X57" s="413"/>
      <c r="Y57" s="413"/>
      <c r="Z57" s="413"/>
      <c r="AA57" s="413"/>
      <c r="AB57" s="413"/>
      <c r="AC57" s="413"/>
      <c r="AD57" s="413"/>
      <c r="AE57" s="413"/>
      <c r="AF57" s="413"/>
      <c r="AG57" s="413"/>
      <c r="AH57" s="413"/>
      <c r="AI57" s="413"/>
      <c r="AJ57" s="413"/>
      <c r="AK57" s="413"/>
      <c r="AL57" s="413"/>
      <c r="AM57" s="413"/>
      <c r="AN57" s="413"/>
      <c r="AO57" s="414"/>
      <c r="AP57" s="413"/>
      <c r="AQ57" s="413"/>
      <c r="AR57" s="413"/>
      <c r="AS57" s="413"/>
      <c r="AT57" s="413"/>
      <c r="AU57" s="413"/>
      <c r="AV57" s="413"/>
      <c r="AW57" s="413"/>
      <c r="AX57" s="413"/>
      <c r="AY57" s="414"/>
      <c r="AZ57" s="413"/>
      <c r="BA57" s="413"/>
      <c r="BB57" s="413"/>
      <c r="BC57" s="413"/>
      <c r="BD57" s="413"/>
      <c r="BE57" s="413"/>
      <c r="BF57" s="413"/>
      <c r="BG57" s="413"/>
      <c r="BH57" s="413"/>
      <c r="BI57" s="414"/>
      <c r="BJ57" s="413"/>
      <c r="BK57" s="413"/>
      <c r="BL57" s="413"/>
      <c r="BM57" s="413"/>
      <c r="BN57" s="413"/>
      <c r="BO57" s="413"/>
      <c r="BP57" s="413"/>
      <c r="BQ57" s="413"/>
      <c r="BR57" s="413"/>
      <c r="BS57" s="413"/>
      <c r="BT57" s="413"/>
      <c r="BU57" s="413"/>
      <c r="BV57" s="413"/>
      <c r="BW57" s="413"/>
      <c r="BX57" s="413"/>
      <c r="BY57" s="413"/>
      <c r="BZ57" s="413"/>
      <c r="CA57" s="413"/>
      <c r="CB57" s="413"/>
      <c r="CC57" s="413"/>
      <c r="CD57" s="413"/>
      <c r="CE57" s="413"/>
      <c r="CF57" s="413"/>
      <c r="CG57" s="413"/>
      <c r="CH57" s="413"/>
      <c r="CI57" s="413"/>
      <c r="CJ57" s="413"/>
      <c r="CK57" s="413"/>
      <c r="CL57" s="413"/>
      <c r="CM57" s="414"/>
      <c r="CN57" s="413"/>
      <c r="CO57" s="413"/>
      <c r="CP57" s="413"/>
      <c r="CQ57" s="413"/>
      <c r="CR57" s="413"/>
      <c r="CS57" s="413"/>
      <c r="CT57" s="413"/>
      <c r="CU57" s="413"/>
      <c r="CV57" s="413"/>
      <c r="CW57" s="414"/>
      <c r="CX57" s="413"/>
      <c r="CY57" s="413"/>
      <c r="CZ57" s="413"/>
      <c r="DA57" s="413"/>
      <c r="DB57" s="413"/>
      <c r="DC57" s="413"/>
      <c r="DD57" s="413"/>
      <c r="DE57" s="413"/>
      <c r="DF57" s="413"/>
      <c r="DG57" s="414"/>
      <c r="DH57" s="413"/>
      <c r="DI57" s="413"/>
      <c r="DJ57" s="413"/>
      <c r="DK57" s="413"/>
      <c r="DL57" s="413"/>
      <c r="DM57" s="413"/>
      <c r="DN57" s="413"/>
      <c r="DO57" s="413"/>
      <c r="DP57" s="413"/>
      <c r="DQ57" s="414"/>
      <c r="DR57" s="413"/>
      <c r="DS57" s="413"/>
      <c r="DT57" s="413"/>
      <c r="DU57" s="413"/>
      <c r="DV57" s="413"/>
      <c r="DW57" s="413"/>
      <c r="DX57" s="413"/>
      <c r="DY57" s="413"/>
      <c r="DZ57" s="413"/>
      <c r="EA57" s="413"/>
      <c r="EB57" s="413"/>
      <c r="EC57" s="413"/>
      <c r="ED57" s="413"/>
      <c r="EE57" s="413"/>
      <c r="EF57" s="413"/>
      <c r="EG57" s="413"/>
      <c r="EH57" s="413"/>
      <c r="EI57" s="413"/>
      <c r="EJ57" s="413"/>
      <c r="EK57" s="413"/>
      <c r="EL57" s="413"/>
      <c r="EM57" s="452"/>
      <c r="EN57" s="413"/>
      <c r="EO57" s="453"/>
      <c r="EP57" s="413"/>
      <c r="EQ57" s="434"/>
      <c r="ER57" s="434"/>
      <c r="ES57" s="434"/>
      <c r="ET57" s="434"/>
      <c r="EU57" s="434"/>
      <c r="EV57" s="434"/>
      <c r="EW57" s="434"/>
      <c r="EX57" s="434"/>
      <c r="EY57" s="434"/>
      <c r="EZ57" s="434"/>
      <c r="FA57" s="434"/>
      <c r="FB57" s="434"/>
      <c r="FC57" s="399"/>
      <c r="FD57" s="399"/>
      <c r="FE57" s="399"/>
      <c r="FF57" s="399"/>
      <c r="FG57" s="415"/>
      <c r="FH57" s="415"/>
      <c r="FI57" s="415"/>
      <c r="FJ57" s="415"/>
      <c r="FK57" s="415"/>
      <c r="FL57" s="415"/>
      <c r="FM57" s="415"/>
    </row>
    <row r="58" spans="1:169" hidden="1">
      <c r="A58" s="410" t="s">
        <v>83</v>
      </c>
      <c r="B58" s="459" t="s">
        <v>1327</v>
      </c>
      <c r="C58" s="412"/>
      <c r="D58" s="412"/>
      <c r="E58" s="412"/>
      <c r="F58" s="412"/>
      <c r="G58" s="412"/>
      <c r="H58" s="412"/>
      <c r="I58" s="412"/>
      <c r="J58" s="412"/>
      <c r="K58" s="412"/>
      <c r="L58" s="412"/>
      <c r="M58" s="413"/>
      <c r="N58" s="413"/>
      <c r="O58" s="413"/>
      <c r="P58" s="413"/>
      <c r="Q58" s="413"/>
      <c r="R58" s="413"/>
      <c r="S58" s="413"/>
      <c r="T58" s="413"/>
      <c r="U58" s="413"/>
      <c r="V58" s="413"/>
      <c r="W58" s="413"/>
      <c r="X58" s="413"/>
      <c r="Y58" s="413"/>
      <c r="Z58" s="413"/>
      <c r="AA58" s="413"/>
      <c r="AB58" s="413"/>
      <c r="AC58" s="413"/>
      <c r="AD58" s="413"/>
      <c r="AE58" s="413"/>
      <c r="AF58" s="413"/>
      <c r="AG58" s="413"/>
      <c r="AH58" s="413"/>
      <c r="AI58" s="413"/>
      <c r="AJ58" s="413"/>
      <c r="AK58" s="413"/>
      <c r="AL58" s="413"/>
      <c r="AM58" s="413"/>
      <c r="AN58" s="413"/>
      <c r="AO58" s="414"/>
      <c r="AP58" s="413"/>
      <c r="AQ58" s="413"/>
      <c r="AR58" s="413"/>
      <c r="AS58" s="413"/>
      <c r="AT58" s="413"/>
      <c r="AU58" s="413"/>
      <c r="AV58" s="413"/>
      <c r="AW58" s="413"/>
      <c r="AX58" s="413"/>
      <c r="AY58" s="414"/>
      <c r="AZ58" s="413"/>
      <c r="BA58" s="413"/>
      <c r="BB58" s="413"/>
      <c r="BC58" s="413"/>
      <c r="BD58" s="413"/>
      <c r="BE58" s="413"/>
      <c r="BF58" s="413"/>
      <c r="BG58" s="413"/>
      <c r="BH58" s="413"/>
      <c r="BI58" s="414"/>
      <c r="BJ58" s="413"/>
      <c r="BK58" s="413"/>
      <c r="BL58" s="413"/>
      <c r="BM58" s="413"/>
      <c r="BN58" s="413"/>
      <c r="BO58" s="413"/>
      <c r="BP58" s="413"/>
      <c r="BQ58" s="413"/>
      <c r="BR58" s="413"/>
      <c r="BS58" s="413"/>
      <c r="BT58" s="413"/>
      <c r="BU58" s="413"/>
      <c r="BV58" s="413"/>
      <c r="BW58" s="413"/>
      <c r="BX58" s="413"/>
      <c r="BY58" s="413"/>
      <c r="BZ58" s="413"/>
      <c r="CA58" s="413"/>
      <c r="CB58" s="413"/>
      <c r="CC58" s="413"/>
      <c r="CD58" s="413"/>
      <c r="CE58" s="413"/>
      <c r="CF58" s="413"/>
      <c r="CG58" s="413"/>
      <c r="CH58" s="413"/>
      <c r="CI58" s="413"/>
      <c r="CJ58" s="413"/>
      <c r="CK58" s="413"/>
      <c r="CL58" s="413"/>
      <c r="CM58" s="414"/>
      <c r="CN58" s="413"/>
      <c r="CO58" s="413"/>
      <c r="CP58" s="413"/>
      <c r="CQ58" s="413"/>
      <c r="CR58" s="413"/>
      <c r="CS58" s="413"/>
      <c r="CT58" s="413"/>
      <c r="CU58" s="413"/>
      <c r="CV58" s="413"/>
      <c r="CW58" s="414"/>
      <c r="CX58" s="413"/>
      <c r="CY58" s="413"/>
      <c r="CZ58" s="413"/>
      <c r="DA58" s="413"/>
      <c r="DB58" s="413"/>
      <c r="DC58" s="413"/>
      <c r="DD58" s="413"/>
      <c r="DE58" s="413"/>
      <c r="DF58" s="413"/>
      <c r="DG58" s="414"/>
      <c r="DH58" s="413"/>
      <c r="DI58" s="413"/>
      <c r="DJ58" s="413"/>
      <c r="DK58" s="413"/>
      <c r="DL58" s="413"/>
      <c r="DM58" s="413"/>
      <c r="DN58" s="413"/>
      <c r="DO58" s="413"/>
      <c r="DP58" s="413"/>
      <c r="DQ58" s="414"/>
      <c r="DR58" s="413"/>
      <c r="DS58" s="413"/>
      <c r="DT58" s="413"/>
      <c r="DU58" s="413"/>
      <c r="DV58" s="413"/>
      <c r="DW58" s="413"/>
      <c r="DX58" s="413"/>
      <c r="DY58" s="413"/>
      <c r="DZ58" s="413"/>
      <c r="EA58" s="413"/>
      <c r="EB58" s="413"/>
      <c r="EC58" s="413"/>
      <c r="ED58" s="413"/>
      <c r="EE58" s="413"/>
      <c r="EF58" s="413"/>
      <c r="EG58" s="413"/>
      <c r="EH58" s="413"/>
      <c r="EI58" s="413"/>
      <c r="EJ58" s="413"/>
      <c r="EK58" s="413"/>
      <c r="EL58" s="413"/>
      <c r="EM58" s="452"/>
      <c r="EN58" s="413"/>
      <c r="EO58" s="453"/>
      <c r="EP58" s="413"/>
      <c r="EQ58" s="434"/>
      <c r="ER58" s="434"/>
      <c r="ES58" s="434"/>
      <c r="ET58" s="434"/>
      <c r="EU58" s="434"/>
      <c r="EV58" s="434"/>
      <c r="EW58" s="434"/>
      <c r="EX58" s="434"/>
      <c r="EY58" s="434"/>
      <c r="EZ58" s="434"/>
      <c r="FA58" s="434"/>
      <c r="FB58" s="434"/>
      <c r="FC58" s="399"/>
      <c r="FD58" s="399"/>
      <c r="FE58" s="399"/>
      <c r="FF58" s="399"/>
      <c r="FG58" s="415"/>
      <c r="FH58" s="415"/>
      <c r="FI58" s="415"/>
      <c r="FJ58" s="415"/>
      <c r="FK58" s="415"/>
      <c r="FL58" s="415"/>
      <c r="FM58" s="415"/>
    </row>
    <row r="59" spans="1:169" hidden="1">
      <c r="A59" s="410" t="s">
        <v>86</v>
      </c>
      <c r="B59" s="459" t="s">
        <v>1328</v>
      </c>
      <c r="C59" s="412"/>
      <c r="D59" s="412"/>
      <c r="E59" s="412"/>
      <c r="F59" s="412"/>
      <c r="G59" s="412"/>
      <c r="H59" s="412"/>
      <c r="I59" s="412"/>
      <c r="J59" s="412"/>
      <c r="K59" s="412"/>
      <c r="L59" s="412"/>
      <c r="M59" s="413"/>
      <c r="N59" s="413"/>
      <c r="O59" s="413"/>
      <c r="P59" s="413"/>
      <c r="Q59" s="413"/>
      <c r="R59" s="413"/>
      <c r="S59" s="413"/>
      <c r="T59" s="413"/>
      <c r="U59" s="413"/>
      <c r="V59" s="413"/>
      <c r="W59" s="413"/>
      <c r="X59" s="413"/>
      <c r="Y59" s="413"/>
      <c r="Z59" s="413"/>
      <c r="AA59" s="413"/>
      <c r="AB59" s="413"/>
      <c r="AC59" s="413"/>
      <c r="AD59" s="413"/>
      <c r="AE59" s="413"/>
      <c r="AF59" s="413"/>
      <c r="AG59" s="413"/>
      <c r="AH59" s="413"/>
      <c r="AI59" s="413"/>
      <c r="AJ59" s="413"/>
      <c r="AK59" s="413"/>
      <c r="AL59" s="413"/>
      <c r="AM59" s="413"/>
      <c r="AN59" s="413"/>
      <c r="AO59" s="414"/>
      <c r="AP59" s="413"/>
      <c r="AQ59" s="413"/>
      <c r="AR59" s="413"/>
      <c r="AS59" s="413"/>
      <c r="AT59" s="413"/>
      <c r="AU59" s="413"/>
      <c r="AV59" s="413"/>
      <c r="AW59" s="413"/>
      <c r="AX59" s="413"/>
      <c r="AY59" s="414"/>
      <c r="AZ59" s="413"/>
      <c r="BA59" s="413"/>
      <c r="BB59" s="413"/>
      <c r="BC59" s="413"/>
      <c r="BD59" s="413"/>
      <c r="BE59" s="413"/>
      <c r="BF59" s="413"/>
      <c r="BG59" s="413"/>
      <c r="BH59" s="413"/>
      <c r="BI59" s="414"/>
      <c r="BJ59" s="413"/>
      <c r="BK59" s="413"/>
      <c r="BL59" s="413"/>
      <c r="BM59" s="413"/>
      <c r="BN59" s="413"/>
      <c r="BO59" s="413"/>
      <c r="BP59" s="413"/>
      <c r="BQ59" s="413"/>
      <c r="BR59" s="413"/>
      <c r="BS59" s="413"/>
      <c r="BT59" s="413"/>
      <c r="BU59" s="413"/>
      <c r="BV59" s="413"/>
      <c r="BW59" s="413"/>
      <c r="BX59" s="413"/>
      <c r="BY59" s="413"/>
      <c r="BZ59" s="413"/>
      <c r="CA59" s="413"/>
      <c r="CB59" s="413"/>
      <c r="CC59" s="413"/>
      <c r="CD59" s="413"/>
      <c r="CE59" s="413"/>
      <c r="CF59" s="413"/>
      <c r="CG59" s="413"/>
      <c r="CH59" s="413"/>
      <c r="CI59" s="413"/>
      <c r="CJ59" s="413"/>
      <c r="CK59" s="413"/>
      <c r="CL59" s="413"/>
      <c r="CM59" s="414"/>
      <c r="CN59" s="413"/>
      <c r="CO59" s="413"/>
      <c r="CP59" s="413"/>
      <c r="CQ59" s="413"/>
      <c r="CR59" s="413"/>
      <c r="CS59" s="413"/>
      <c r="CT59" s="413"/>
      <c r="CU59" s="413"/>
      <c r="CV59" s="413"/>
      <c r="CW59" s="414"/>
      <c r="CX59" s="413"/>
      <c r="CY59" s="413"/>
      <c r="CZ59" s="413"/>
      <c r="DA59" s="413"/>
      <c r="DB59" s="413"/>
      <c r="DC59" s="413"/>
      <c r="DD59" s="413"/>
      <c r="DE59" s="413"/>
      <c r="DF59" s="413"/>
      <c r="DG59" s="414"/>
      <c r="DH59" s="413"/>
      <c r="DI59" s="413"/>
      <c r="DJ59" s="413"/>
      <c r="DK59" s="413"/>
      <c r="DL59" s="413"/>
      <c r="DM59" s="413"/>
      <c r="DN59" s="413"/>
      <c r="DO59" s="413"/>
      <c r="DP59" s="413"/>
      <c r="DQ59" s="414"/>
      <c r="DR59" s="413"/>
      <c r="DS59" s="413"/>
      <c r="DT59" s="413"/>
      <c r="DU59" s="413"/>
      <c r="DV59" s="413"/>
      <c r="DW59" s="413"/>
      <c r="DX59" s="413"/>
      <c r="DY59" s="413"/>
      <c r="DZ59" s="413"/>
      <c r="EA59" s="413"/>
      <c r="EB59" s="413"/>
      <c r="EC59" s="413"/>
      <c r="ED59" s="413"/>
      <c r="EE59" s="413"/>
      <c r="EF59" s="413"/>
      <c r="EG59" s="413"/>
      <c r="EH59" s="413"/>
      <c r="EI59" s="413"/>
      <c r="EJ59" s="413"/>
      <c r="EK59" s="413"/>
      <c r="EL59" s="413"/>
      <c r="EM59" s="452"/>
      <c r="EN59" s="413"/>
      <c r="EO59" s="453"/>
      <c r="EP59" s="413"/>
      <c r="EQ59" s="434"/>
      <c r="ER59" s="434"/>
      <c r="ES59" s="434"/>
      <c r="ET59" s="434"/>
      <c r="EU59" s="434"/>
      <c r="EV59" s="434"/>
      <c r="EW59" s="434"/>
      <c r="EX59" s="434"/>
      <c r="EY59" s="434"/>
      <c r="EZ59" s="434"/>
      <c r="FA59" s="434"/>
      <c r="FB59" s="434"/>
      <c r="FC59" s="399"/>
      <c r="FD59" s="399"/>
      <c r="FE59" s="399"/>
      <c r="FF59" s="399"/>
      <c r="FG59" s="415"/>
      <c r="FH59" s="415"/>
      <c r="FI59" s="415"/>
      <c r="FJ59" s="415"/>
      <c r="FK59" s="415"/>
      <c r="FL59" s="415"/>
      <c r="FM59" s="415"/>
    </row>
    <row r="60" spans="1:169" hidden="1">
      <c r="A60" s="410" t="s">
        <v>217</v>
      </c>
      <c r="B60" s="459" t="s">
        <v>1329</v>
      </c>
      <c r="C60" s="412"/>
      <c r="D60" s="412"/>
      <c r="E60" s="412"/>
      <c r="F60" s="412"/>
      <c r="G60" s="412"/>
      <c r="H60" s="412"/>
      <c r="I60" s="412"/>
      <c r="J60" s="412"/>
      <c r="K60" s="412"/>
      <c r="L60" s="412"/>
      <c r="M60" s="413"/>
      <c r="N60" s="413"/>
      <c r="O60" s="413"/>
      <c r="P60" s="413"/>
      <c r="Q60" s="413"/>
      <c r="R60" s="413"/>
      <c r="S60" s="413"/>
      <c r="T60" s="413"/>
      <c r="U60" s="413"/>
      <c r="V60" s="413"/>
      <c r="W60" s="413"/>
      <c r="X60" s="413"/>
      <c r="Y60" s="413"/>
      <c r="Z60" s="413"/>
      <c r="AA60" s="413"/>
      <c r="AB60" s="413"/>
      <c r="AC60" s="413"/>
      <c r="AD60" s="413"/>
      <c r="AE60" s="413"/>
      <c r="AF60" s="413"/>
      <c r="AG60" s="413"/>
      <c r="AH60" s="413"/>
      <c r="AI60" s="413"/>
      <c r="AJ60" s="413"/>
      <c r="AK60" s="413"/>
      <c r="AL60" s="413"/>
      <c r="AM60" s="413"/>
      <c r="AN60" s="413"/>
      <c r="AO60" s="414"/>
      <c r="AP60" s="413"/>
      <c r="AQ60" s="413"/>
      <c r="AR60" s="413"/>
      <c r="AS60" s="413"/>
      <c r="AT60" s="413"/>
      <c r="AU60" s="413"/>
      <c r="AV60" s="413"/>
      <c r="AW60" s="413"/>
      <c r="AX60" s="413"/>
      <c r="AY60" s="414"/>
      <c r="AZ60" s="413"/>
      <c r="BA60" s="413"/>
      <c r="BB60" s="413"/>
      <c r="BC60" s="413"/>
      <c r="BD60" s="413"/>
      <c r="BE60" s="413"/>
      <c r="BF60" s="413"/>
      <c r="BG60" s="413"/>
      <c r="BH60" s="413"/>
      <c r="BI60" s="414"/>
      <c r="BJ60" s="413"/>
      <c r="BK60" s="413"/>
      <c r="BL60" s="413"/>
      <c r="BM60" s="413"/>
      <c r="BN60" s="413"/>
      <c r="BO60" s="413"/>
      <c r="BP60" s="413"/>
      <c r="BQ60" s="413"/>
      <c r="BR60" s="413"/>
      <c r="BS60" s="413"/>
      <c r="BT60" s="413"/>
      <c r="BU60" s="413"/>
      <c r="BV60" s="413"/>
      <c r="BW60" s="413"/>
      <c r="BX60" s="413"/>
      <c r="BY60" s="413"/>
      <c r="BZ60" s="413"/>
      <c r="CA60" s="413"/>
      <c r="CB60" s="413"/>
      <c r="CC60" s="413"/>
      <c r="CD60" s="413"/>
      <c r="CE60" s="413"/>
      <c r="CF60" s="413"/>
      <c r="CG60" s="413"/>
      <c r="CH60" s="413"/>
      <c r="CI60" s="413"/>
      <c r="CJ60" s="413"/>
      <c r="CK60" s="413"/>
      <c r="CL60" s="413"/>
      <c r="CM60" s="414"/>
      <c r="CN60" s="413"/>
      <c r="CO60" s="413"/>
      <c r="CP60" s="413"/>
      <c r="CQ60" s="413"/>
      <c r="CR60" s="413"/>
      <c r="CS60" s="413"/>
      <c r="CT60" s="413"/>
      <c r="CU60" s="413"/>
      <c r="CV60" s="413"/>
      <c r="CW60" s="414"/>
      <c r="CX60" s="413"/>
      <c r="CY60" s="413"/>
      <c r="CZ60" s="413"/>
      <c r="DA60" s="413"/>
      <c r="DB60" s="413"/>
      <c r="DC60" s="413"/>
      <c r="DD60" s="413"/>
      <c r="DE60" s="413"/>
      <c r="DF60" s="413"/>
      <c r="DG60" s="414"/>
      <c r="DH60" s="413"/>
      <c r="DI60" s="413"/>
      <c r="DJ60" s="413"/>
      <c r="DK60" s="413"/>
      <c r="DL60" s="413"/>
      <c r="DM60" s="413"/>
      <c r="DN60" s="413"/>
      <c r="DO60" s="413"/>
      <c r="DP60" s="413"/>
      <c r="DQ60" s="414"/>
      <c r="DR60" s="413"/>
      <c r="DS60" s="413"/>
      <c r="DT60" s="413"/>
      <c r="DU60" s="413"/>
      <c r="DV60" s="413"/>
      <c r="DW60" s="413"/>
      <c r="DX60" s="413"/>
      <c r="DY60" s="413"/>
      <c r="DZ60" s="413"/>
      <c r="EA60" s="413"/>
      <c r="EB60" s="413"/>
      <c r="EC60" s="413"/>
      <c r="ED60" s="413"/>
      <c r="EE60" s="413"/>
      <c r="EF60" s="413"/>
      <c r="EG60" s="413"/>
      <c r="EH60" s="413"/>
      <c r="EI60" s="413"/>
      <c r="EJ60" s="413"/>
      <c r="EK60" s="413"/>
      <c r="EL60" s="413"/>
      <c r="EM60" s="452"/>
      <c r="EN60" s="413"/>
      <c r="EO60" s="453"/>
      <c r="EP60" s="413"/>
      <c r="EQ60" s="434"/>
      <c r="ER60" s="434"/>
      <c r="ES60" s="434"/>
      <c r="ET60" s="434"/>
      <c r="EU60" s="434"/>
      <c r="EV60" s="434"/>
      <c r="EW60" s="434"/>
      <c r="EX60" s="434"/>
      <c r="EY60" s="434"/>
      <c r="EZ60" s="434"/>
      <c r="FA60" s="434"/>
      <c r="FB60" s="434"/>
      <c r="FC60" s="399"/>
      <c r="FD60" s="399"/>
      <c r="FE60" s="399"/>
      <c r="FF60" s="399"/>
      <c r="FG60" s="415"/>
      <c r="FH60" s="415"/>
      <c r="FI60" s="415"/>
      <c r="FJ60" s="415"/>
      <c r="FK60" s="415"/>
      <c r="FL60" s="415"/>
      <c r="FM60" s="415"/>
    </row>
    <row r="61" spans="1:169" hidden="1">
      <c r="A61" s="410" t="s">
        <v>218</v>
      </c>
      <c r="B61" s="459" t="s">
        <v>1330</v>
      </c>
      <c r="C61" s="412"/>
      <c r="D61" s="412"/>
      <c r="E61" s="412"/>
      <c r="F61" s="412"/>
      <c r="G61" s="412"/>
      <c r="H61" s="412"/>
      <c r="I61" s="412"/>
      <c r="J61" s="412"/>
      <c r="K61" s="412"/>
      <c r="L61" s="412"/>
      <c r="M61" s="413"/>
      <c r="N61" s="413"/>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4"/>
      <c r="AP61" s="413"/>
      <c r="AQ61" s="413"/>
      <c r="AR61" s="413"/>
      <c r="AS61" s="413"/>
      <c r="AT61" s="413"/>
      <c r="AU61" s="413"/>
      <c r="AV61" s="413"/>
      <c r="AW61" s="413"/>
      <c r="AX61" s="413"/>
      <c r="AY61" s="414"/>
      <c r="AZ61" s="413"/>
      <c r="BA61" s="413"/>
      <c r="BB61" s="413"/>
      <c r="BC61" s="413"/>
      <c r="BD61" s="413"/>
      <c r="BE61" s="413"/>
      <c r="BF61" s="413"/>
      <c r="BG61" s="413"/>
      <c r="BH61" s="413"/>
      <c r="BI61" s="414"/>
      <c r="BJ61" s="413"/>
      <c r="BK61" s="413"/>
      <c r="BL61" s="413"/>
      <c r="BM61" s="413"/>
      <c r="BN61" s="413"/>
      <c r="BO61" s="413"/>
      <c r="BP61" s="413"/>
      <c r="BQ61" s="413"/>
      <c r="BR61" s="413"/>
      <c r="BS61" s="413"/>
      <c r="BT61" s="413"/>
      <c r="BU61" s="413"/>
      <c r="BV61" s="413"/>
      <c r="BW61" s="413"/>
      <c r="BX61" s="413"/>
      <c r="BY61" s="413"/>
      <c r="BZ61" s="413"/>
      <c r="CA61" s="413"/>
      <c r="CB61" s="413"/>
      <c r="CC61" s="413"/>
      <c r="CD61" s="413"/>
      <c r="CE61" s="413"/>
      <c r="CF61" s="413"/>
      <c r="CG61" s="413"/>
      <c r="CH61" s="413"/>
      <c r="CI61" s="413"/>
      <c r="CJ61" s="413"/>
      <c r="CK61" s="413"/>
      <c r="CL61" s="413"/>
      <c r="CM61" s="414"/>
      <c r="CN61" s="413"/>
      <c r="CO61" s="413"/>
      <c r="CP61" s="413"/>
      <c r="CQ61" s="413"/>
      <c r="CR61" s="413"/>
      <c r="CS61" s="413"/>
      <c r="CT61" s="413"/>
      <c r="CU61" s="413"/>
      <c r="CV61" s="413"/>
      <c r="CW61" s="414"/>
      <c r="CX61" s="413"/>
      <c r="CY61" s="413"/>
      <c r="CZ61" s="413"/>
      <c r="DA61" s="413"/>
      <c r="DB61" s="413"/>
      <c r="DC61" s="413"/>
      <c r="DD61" s="413"/>
      <c r="DE61" s="413"/>
      <c r="DF61" s="413"/>
      <c r="DG61" s="414"/>
      <c r="DH61" s="413"/>
      <c r="DI61" s="413"/>
      <c r="DJ61" s="413"/>
      <c r="DK61" s="413"/>
      <c r="DL61" s="413"/>
      <c r="DM61" s="413"/>
      <c r="DN61" s="413"/>
      <c r="DO61" s="413"/>
      <c r="DP61" s="413"/>
      <c r="DQ61" s="414"/>
      <c r="DR61" s="413"/>
      <c r="DS61" s="413"/>
      <c r="DT61" s="413"/>
      <c r="DU61" s="413"/>
      <c r="DV61" s="413"/>
      <c r="DW61" s="413"/>
      <c r="DX61" s="413"/>
      <c r="DY61" s="413"/>
      <c r="DZ61" s="413"/>
      <c r="EA61" s="413"/>
      <c r="EB61" s="413"/>
      <c r="EC61" s="413"/>
      <c r="ED61" s="413"/>
      <c r="EE61" s="413"/>
      <c r="EF61" s="413"/>
      <c r="EG61" s="413"/>
      <c r="EH61" s="413"/>
      <c r="EI61" s="413"/>
      <c r="EJ61" s="413"/>
      <c r="EK61" s="413"/>
      <c r="EL61" s="413"/>
      <c r="EM61" s="452"/>
      <c r="EN61" s="413"/>
      <c r="EO61" s="453"/>
      <c r="EP61" s="413"/>
      <c r="EQ61" s="434"/>
      <c r="ER61" s="434"/>
      <c r="ES61" s="434"/>
      <c r="ET61" s="434"/>
      <c r="EU61" s="434"/>
      <c r="EV61" s="434"/>
      <c r="EW61" s="434"/>
      <c r="EX61" s="434"/>
      <c r="EY61" s="434"/>
      <c r="EZ61" s="434"/>
      <c r="FA61" s="434"/>
      <c r="FB61" s="434"/>
      <c r="FC61" s="399"/>
      <c r="FD61" s="399"/>
      <c r="FE61" s="399"/>
      <c r="FF61" s="399"/>
      <c r="FG61" s="415"/>
      <c r="FH61" s="415"/>
      <c r="FI61" s="415"/>
      <c r="FJ61" s="415"/>
      <c r="FK61" s="415"/>
      <c r="FL61" s="415"/>
      <c r="FM61" s="415"/>
    </row>
    <row r="62" spans="1:169" hidden="1">
      <c r="A62" s="410" t="s">
        <v>1297</v>
      </c>
      <c r="B62" s="463"/>
      <c r="C62" s="412"/>
      <c r="D62" s="412"/>
      <c r="E62" s="412"/>
      <c r="F62" s="412"/>
      <c r="G62" s="412"/>
      <c r="H62" s="412"/>
      <c r="I62" s="412"/>
      <c r="J62" s="412"/>
      <c r="K62" s="412"/>
      <c r="L62" s="412"/>
      <c r="M62" s="413"/>
      <c r="N62" s="413"/>
      <c r="O62" s="413"/>
      <c r="P62" s="413"/>
      <c r="Q62" s="413"/>
      <c r="R62" s="413"/>
      <c r="S62" s="413"/>
      <c r="T62" s="413"/>
      <c r="U62" s="413"/>
      <c r="V62" s="413"/>
      <c r="W62" s="413"/>
      <c r="X62" s="413"/>
      <c r="Y62" s="413"/>
      <c r="Z62" s="413"/>
      <c r="AA62" s="413"/>
      <c r="AB62" s="413"/>
      <c r="AC62" s="413"/>
      <c r="AD62" s="413"/>
      <c r="AE62" s="413"/>
      <c r="AF62" s="413"/>
      <c r="AG62" s="413"/>
      <c r="AH62" s="413"/>
      <c r="AI62" s="413"/>
      <c r="AJ62" s="413"/>
      <c r="AK62" s="413"/>
      <c r="AL62" s="413"/>
      <c r="AM62" s="413"/>
      <c r="AN62" s="413"/>
      <c r="AO62" s="414"/>
      <c r="AP62" s="413"/>
      <c r="AQ62" s="413"/>
      <c r="AR62" s="413"/>
      <c r="AS62" s="413"/>
      <c r="AT62" s="413"/>
      <c r="AU62" s="413"/>
      <c r="AV62" s="413"/>
      <c r="AW62" s="413"/>
      <c r="AX62" s="413"/>
      <c r="AY62" s="414"/>
      <c r="AZ62" s="413"/>
      <c r="BA62" s="413"/>
      <c r="BB62" s="413"/>
      <c r="BC62" s="413"/>
      <c r="BD62" s="413"/>
      <c r="BE62" s="413"/>
      <c r="BF62" s="413"/>
      <c r="BG62" s="413"/>
      <c r="BH62" s="413"/>
      <c r="BI62" s="414"/>
      <c r="BJ62" s="413"/>
      <c r="BK62" s="413"/>
      <c r="BL62" s="413"/>
      <c r="BM62" s="413"/>
      <c r="BN62" s="413"/>
      <c r="BO62" s="413"/>
      <c r="BP62" s="413"/>
      <c r="BQ62" s="413"/>
      <c r="BR62" s="413"/>
      <c r="BS62" s="413"/>
      <c r="BT62" s="413"/>
      <c r="BU62" s="413"/>
      <c r="BV62" s="413"/>
      <c r="BW62" s="413"/>
      <c r="BX62" s="413"/>
      <c r="BY62" s="413"/>
      <c r="BZ62" s="413"/>
      <c r="CA62" s="413"/>
      <c r="CB62" s="413"/>
      <c r="CC62" s="413"/>
      <c r="CD62" s="413"/>
      <c r="CE62" s="413"/>
      <c r="CF62" s="413"/>
      <c r="CG62" s="413"/>
      <c r="CH62" s="413"/>
      <c r="CI62" s="413"/>
      <c r="CJ62" s="413"/>
      <c r="CK62" s="413"/>
      <c r="CL62" s="413"/>
      <c r="CM62" s="414"/>
      <c r="CN62" s="413"/>
      <c r="CO62" s="413"/>
      <c r="CP62" s="413"/>
      <c r="CQ62" s="413"/>
      <c r="CR62" s="413"/>
      <c r="CS62" s="413"/>
      <c r="CT62" s="413"/>
      <c r="CU62" s="413"/>
      <c r="CV62" s="413"/>
      <c r="CW62" s="414"/>
      <c r="CX62" s="413"/>
      <c r="CY62" s="413"/>
      <c r="CZ62" s="413"/>
      <c r="DA62" s="413"/>
      <c r="DB62" s="413"/>
      <c r="DC62" s="413"/>
      <c r="DD62" s="413"/>
      <c r="DE62" s="413"/>
      <c r="DF62" s="413"/>
      <c r="DG62" s="414"/>
      <c r="DH62" s="413"/>
      <c r="DI62" s="413"/>
      <c r="DJ62" s="413"/>
      <c r="DK62" s="413"/>
      <c r="DL62" s="413"/>
      <c r="DM62" s="413"/>
      <c r="DN62" s="413"/>
      <c r="DO62" s="413"/>
      <c r="DP62" s="413"/>
      <c r="DQ62" s="414"/>
      <c r="DR62" s="413"/>
      <c r="DS62" s="413"/>
      <c r="DT62" s="413"/>
      <c r="DU62" s="413"/>
      <c r="DV62" s="413"/>
      <c r="DW62" s="413"/>
      <c r="DX62" s="413"/>
      <c r="DY62" s="413"/>
      <c r="DZ62" s="413"/>
      <c r="EA62" s="413"/>
      <c r="EB62" s="413"/>
      <c r="EC62" s="413"/>
      <c r="ED62" s="413"/>
      <c r="EE62" s="413"/>
      <c r="EF62" s="413"/>
      <c r="EG62" s="413"/>
      <c r="EH62" s="413"/>
      <c r="EI62" s="413"/>
      <c r="EJ62" s="413"/>
      <c r="EK62" s="413"/>
      <c r="EL62" s="413"/>
      <c r="EM62" s="452"/>
      <c r="EN62" s="413"/>
      <c r="EO62" s="453"/>
      <c r="EP62" s="413"/>
      <c r="EQ62" s="434"/>
      <c r="ER62" s="434"/>
      <c r="ES62" s="434"/>
      <c r="ET62" s="434"/>
      <c r="EU62" s="434"/>
      <c r="EV62" s="434"/>
      <c r="EW62" s="434"/>
      <c r="EX62" s="434"/>
      <c r="EY62" s="434"/>
      <c r="EZ62" s="434"/>
      <c r="FA62" s="434"/>
      <c r="FB62" s="434"/>
      <c r="FC62" s="399"/>
      <c r="FD62" s="399"/>
      <c r="FE62" s="399"/>
      <c r="FF62" s="399"/>
      <c r="FG62" s="415"/>
      <c r="FH62" s="415"/>
      <c r="FI62" s="415"/>
      <c r="FJ62" s="415"/>
      <c r="FK62" s="415"/>
      <c r="FL62" s="415"/>
      <c r="FM62" s="415"/>
    </row>
    <row r="63" spans="1:169" hidden="1">
      <c r="A63" s="410"/>
      <c r="B63" s="463" t="s">
        <v>672</v>
      </c>
      <c r="C63" s="412"/>
      <c r="D63" s="412"/>
      <c r="E63" s="412"/>
      <c r="F63" s="412"/>
      <c r="G63" s="412"/>
      <c r="H63" s="412"/>
      <c r="I63" s="412"/>
      <c r="J63" s="412"/>
      <c r="K63" s="412"/>
      <c r="L63" s="412"/>
      <c r="M63" s="413"/>
      <c r="N63" s="413"/>
      <c r="O63" s="413"/>
      <c r="P63" s="413"/>
      <c r="Q63" s="413"/>
      <c r="R63" s="413"/>
      <c r="S63" s="413"/>
      <c r="T63" s="413"/>
      <c r="U63" s="413"/>
      <c r="V63" s="413"/>
      <c r="W63" s="413"/>
      <c r="X63" s="413"/>
      <c r="Y63" s="413"/>
      <c r="Z63" s="413"/>
      <c r="AA63" s="413"/>
      <c r="AB63" s="413"/>
      <c r="AC63" s="413"/>
      <c r="AD63" s="413"/>
      <c r="AE63" s="413"/>
      <c r="AF63" s="413"/>
      <c r="AG63" s="413"/>
      <c r="AH63" s="413"/>
      <c r="AI63" s="413"/>
      <c r="AJ63" s="413"/>
      <c r="AK63" s="413"/>
      <c r="AL63" s="413"/>
      <c r="AM63" s="413"/>
      <c r="AN63" s="413"/>
      <c r="AO63" s="414"/>
      <c r="AP63" s="413"/>
      <c r="AQ63" s="413"/>
      <c r="AR63" s="413"/>
      <c r="AS63" s="413"/>
      <c r="AT63" s="413"/>
      <c r="AU63" s="413"/>
      <c r="AV63" s="413"/>
      <c r="AW63" s="413"/>
      <c r="AX63" s="413"/>
      <c r="AY63" s="414"/>
      <c r="AZ63" s="413"/>
      <c r="BA63" s="413"/>
      <c r="BB63" s="413"/>
      <c r="BC63" s="413"/>
      <c r="BD63" s="413"/>
      <c r="BE63" s="413"/>
      <c r="BF63" s="413"/>
      <c r="BG63" s="413"/>
      <c r="BH63" s="413"/>
      <c r="BI63" s="414"/>
      <c r="BJ63" s="413"/>
      <c r="BK63" s="413"/>
      <c r="BL63" s="413"/>
      <c r="BM63" s="413"/>
      <c r="BN63" s="413"/>
      <c r="BO63" s="413"/>
      <c r="BP63" s="413"/>
      <c r="BQ63" s="413"/>
      <c r="BR63" s="413"/>
      <c r="BS63" s="413"/>
      <c r="BT63" s="413"/>
      <c r="BU63" s="413"/>
      <c r="BV63" s="413"/>
      <c r="BW63" s="413"/>
      <c r="BX63" s="413"/>
      <c r="BY63" s="413"/>
      <c r="BZ63" s="413"/>
      <c r="CA63" s="413"/>
      <c r="CB63" s="413"/>
      <c r="CC63" s="413"/>
      <c r="CD63" s="413"/>
      <c r="CE63" s="413"/>
      <c r="CF63" s="413"/>
      <c r="CG63" s="413"/>
      <c r="CH63" s="413"/>
      <c r="CI63" s="413"/>
      <c r="CJ63" s="413"/>
      <c r="CK63" s="413"/>
      <c r="CL63" s="413"/>
      <c r="CM63" s="414"/>
      <c r="CN63" s="413"/>
      <c r="CO63" s="413"/>
      <c r="CP63" s="413"/>
      <c r="CQ63" s="413"/>
      <c r="CR63" s="413"/>
      <c r="CS63" s="413"/>
      <c r="CT63" s="413"/>
      <c r="CU63" s="413"/>
      <c r="CV63" s="413"/>
      <c r="CW63" s="414"/>
      <c r="CX63" s="413"/>
      <c r="CY63" s="413"/>
      <c r="CZ63" s="413"/>
      <c r="DA63" s="413"/>
      <c r="DB63" s="413"/>
      <c r="DC63" s="413"/>
      <c r="DD63" s="413"/>
      <c r="DE63" s="413"/>
      <c r="DF63" s="413"/>
      <c r="DG63" s="414"/>
      <c r="DH63" s="413"/>
      <c r="DI63" s="413"/>
      <c r="DJ63" s="413"/>
      <c r="DK63" s="413"/>
      <c r="DL63" s="413"/>
      <c r="DM63" s="413"/>
      <c r="DN63" s="413"/>
      <c r="DO63" s="413"/>
      <c r="DP63" s="413"/>
      <c r="DQ63" s="414"/>
      <c r="DR63" s="413"/>
      <c r="DS63" s="413"/>
      <c r="DT63" s="413"/>
      <c r="DU63" s="413"/>
      <c r="DV63" s="413"/>
      <c r="DW63" s="413"/>
      <c r="DX63" s="413"/>
      <c r="DY63" s="413"/>
      <c r="DZ63" s="413"/>
      <c r="EA63" s="413"/>
      <c r="EB63" s="413"/>
      <c r="EC63" s="413"/>
      <c r="ED63" s="413"/>
      <c r="EE63" s="413"/>
      <c r="EF63" s="413"/>
      <c r="EG63" s="413"/>
      <c r="EH63" s="413"/>
      <c r="EI63" s="413"/>
      <c r="EJ63" s="413"/>
      <c r="EK63" s="413"/>
      <c r="EL63" s="413"/>
      <c r="EM63" s="452"/>
      <c r="EN63" s="413"/>
      <c r="EO63" s="453"/>
      <c r="EP63" s="413"/>
      <c r="EQ63" s="434"/>
      <c r="ER63" s="434"/>
      <c r="ES63" s="434"/>
      <c r="ET63" s="434"/>
      <c r="EU63" s="434"/>
      <c r="EV63" s="434"/>
      <c r="EW63" s="434"/>
      <c r="EX63" s="434"/>
      <c r="EY63" s="434"/>
      <c r="EZ63" s="434"/>
      <c r="FA63" s="434"/>
      <c r="FB63" s="434"/>
      <c r="FC63" s="399"/>
      <c r="FD63" s="399"/>
      <c r="FE63" s="399"/>
      <c r="FF63" s="399"/>
      <c r="FG63" s="415"/>
      <c r="FH63" s="415"/>
      <c r="FI63" s="415"/>
      <c r="FJ63" s="415"/>
      <c r="FK63" s="415"/>
      <c r="FL63" s="415"/>
      <c r="FM63" s="415"/>
    </row>
    <row r="64" spans="1:169" hidden="1">
      <c r="A64" s="410"/>
      <c r="B64" s="57" t="s">
        <v>153</v>
      </c>
      <c r="C64" s="412"/>
      <c r="D64" s="412"/>
      <c r="E64" s="412"/>
      <c r="F64" s="412"/>
      <c r="G64" s="412"/>
      <c r="H64" s="412"/>
      <c r="I64" s="412"/>
      <c r="J64" s="412"/>
      <c r="K64" s="412"/>
      <c r="L64" s="412"/>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3"/>
      <c r="AL64" s="413"/>
      <c r="AM64" s="413"/>
      <c r="AN64" s="413"/>
      <c r="AO64" s="414"/>
      <c r="AP64" s="413"/>
      <c r="AQ64" s="413"/>
      <c r="AR64" s="413"/>
      <c r="AS64" s="413"/>
      <c r="AT64" s="413"/>
      <c r="AU64" s="413"/>
      <c r="AV64" s="413"/>
      <c r="AW64" s="413"/>
      <c r="AX64" s="413"/>
      <c r="AY64" s="414"/>
      <c r="AZ64" s="413"/>
      <c r="BA64" s="413"/>
      <c r="BB64" s="413"/>
      <c r="BC64" s="413"/>
      <c r="BD64" s="413"/>
      <c r="BE64" s="413"/>
      <c r="BF64" s="413"/>
      <c r="BG64" s="413"/>
      <c r="BH64" s="413"/>
      <c r="BI64" s="414"/>
      <c r="BJ64" s="413"/>
      <c r="BK64" s="413"/>
      <c r="BL64" s="413"/>
      <c r="BM64" s="413"/>
      <c r="BN64" s="413"/>
      <c r="BO64" s="413"/>
      <c r="BP64" s="413"/>
      <c r="BQ64" s="413"/>
      <c r="BR64" s="413"/>
      <c r="BS64" s="413"/>
      <c r="BT64" s="413"/>
      <c r="BU64" s="413"/>
      <c r="BV64" s="413"/>
      <c r="BW64" s="413"/>
      <c r="BX64" s="413"/>
      <c r="BY64" s="413"/>
      <c r="BZ64" s="413"/>
      <c r="CA64" s="413"/>
      <c r="CB64" s="413"/>
      <c r="CC64" s="413"/>
      <c r="CD64" s="413"/>
      <c r="CE64" s="413"/>
      <c r="CF64" s="413"/>
      <c r="CG64" s="413"/>
      <c r="CH64" s="413"/>
      <c r="CI64" s="413"/>
      <c r="CJ64" s="413"/>
      <c r="CK64" s="413"/>
      <c r="CL64" s="413"/>
      <c r="CM64" s="414"/>
      <c r="CN64" s="413"/>
      <c r="CO64" s="413"/>
      <c r="CP64" s="413"/>
      <c r="CQ64" s="413"/>
      <c r="CR64" s="413"/>
      <c r="CS64" s="413"/>
      <c r="CT64" s="413"/>
      <c r="CU64" s="413"/>
      <c r="CV64" s="413"/>
      <c r="CW64" s="414"/>
      <c r="CX64" s="413"/>
      <c r="CY64" s="413"/>
      <c r="CZ64" s="413"/>
      <c r="DA64" s="413"/>
      <c r="DB64" s="413"/>
      <c r="DC64" s="413"/>
      <c r="DD64" s="413"/>
      <c r="DE64" s="413"/>
      <c r="DF64" s="413"/>
      <c r="DG64" s="414"/>
      <c r="DH64" s="413"/>
      <c r="DI64" s="413"/>
      <c r="DJ64" s="413"/>
      <c r="DK64" s="413"/>
      <c r="DL64" s="413"/>
      <c r="DM64" s="413"/>
      <c r="DN64" s="413"/>
      <c r="DO64" s="413"/>
      <c r="DP64" s="413"/>
      <c r="DQ64" s="414"/>
      <c r="DR64" s="413"/>
      <c r="DS64" s="413"/>
      <c r="DT64" s="413"/>
      <c r="DU64" s="413"/>
      <c r="DV64" s="413"/>
      <c r="DW64" s="413"/>
      <c r="DX64" s="413"/>
      <c r="DY64" s="413"/>
      <c r="DZ64" s="413"/>
      <c r="EA64" s="413"/>
      <c r="EB64" s="413"/>
      <c r="EC64" s="413"/>
      <c r="ED64" s="413"/>
      <c r="EE64" s="413"/>
      <c r="EF64" s="413"/>
      <c r="EG64" s="413"/>
      <c r="EH64" s="413"/>
      <c r="EI64" s="413"/>
      <c r="EJ64" s="413"/>
      <c r="EK64" s="413"/>
      <c r="EL64" s="413"/>
      <c r="EM64" s="452"/>
      <c r="EN64" s="413"/>
      <c r="EO64" s="453"/>
      <c r="EP64" s="413"/>
      <c r="EQ64" s="434"/>
      <c r="ER64" s="434"/>
      <c r="ES64" s="434"/>
      <c r="ET64" s="434"/>
      <c r="EU64" s="434"/>
      <c r="EV64" s="434"/>
      <c r="EW64" s="434"/>
      <c r="EX64" s="434"/>
      <c r="EY64" s="434"/>
      <c r="EZ64" s="434"/>
      <c r="FA64" s="434"/>
      <c r="FB64" s="434"/>
      <c r="FC64" s="399"/>
      <c r="FD64" s="399"/>
      <c r="FE64" s="399"/>
      <c r="FF64" s="399"/>
      <c r="FG64" s="415"/>
      <c r="FH64" s="415"/>
      <c r="FI64" s="415"/>
      <c r="FJ64" s="415"/>
      <c r="FK64" s="415"/>
      <c r="FL64" s="415"/>
      <c r="FM64" s="415"/>
    </row>
    <row r="65" spans="1:169" hidden="1">
      <c r="A65" s="410"/>
      <c r="B65" s="460"/>
      <c r="C65" s="412"/>
      <c r="D65" s="412"/>
      <c r="E65" s="412"/>
      <c r="F65" s="412"/>
      <c r="G65" s="412"/>
      <c r="H65" s="412"/>
      <c r="I65" s="412"/>
      <c r="J65" s="412"/>
      <c r="K65" s="412"/>
      <c r="L65" s="412"/>
      <c r="M65" s="413"/>
      <c r="N65" s="413"/>
      <c r="O65" s="413"/>
      <c r="P65" s="413"/>
      <c r="Q65" s="413"/>
      <c r="R65" s="413"/>
      <c r="S65" s="413"/>
      <c r="T65" s="413"/>
      <c r="U65" s="413"/>
      <c r="V65" s="413"/>
      <c r="W65" s="413"/>
      <c r="X65" s="413"/>
      <c r="Y65" s="413"/>
      <c r="Z65" s="413"/>
      <c r="AA65" s="413"/>
      <c r="AB65" s="413"/>
      <c r="AC65" s="413"/>
      <c r="AD65" s="413"/>
      <c r="AE65" s="413"/>
      <c r="AF65" s="413"/>
      <c r="AG65" s="413"/>
      <c r="AH65" s="413"/>
      <c r="AI65" s="413"/>
      <c r="AJ65" s="413"/>
      <c r="AK65" s="413"/>
      <c r="AL65" s="413"/>
      <c r="AM65" s="413"/>
      <c r="AN65" s="413"/>
      <c r="AO65" s="414"/>
      <c r="AP65" s="413"/>
      <c r="AQ65" s="413"/>
      <c r="AR65" s="413"/>
      <c r="AS65" s="413"/>
      <c r="AT65" s="413"/>
      <c r="AU65" s="413"/>
      <c r="AV65" s="413"/>
      <c r="AW65" s="413"/>
      <c r="AX65" s="413"/>
      <c r="AY65" s="414"/>
      <c r="AZ65" s="413"/>
      <c r="BA65" s="413"/>
      <c r="BB65" s="413"/>
      <c r="BC65" s="413"/>
      <c r="BD65" s="413"/>
      <c r="BE65" s="413"/>
      <c r="BF65" s="413"/>
      <c r="BG65" s="413"/>
      <c r="BH65" s="413"/>
      <c r="BI65" s="414"/>
      <c r="BJ65" s="413"/>
      <c r="BK65" s="413"/>
      <c r="BL65" s="413"/>
      <c r="BM65" s="413"/>
      <c r="BN65" s="413"/>
      <c r="BO65" s="413"/>
      <c r="BP65" s="413"/>
      <c r="BQ65" s="413"/>
      <c r="BR65" s="413"/>
      <c r="BS65" s="413"/>
      <c r="BT65" s="413"/>
      <c r="BU65" s="413"/>
      <c r="BV65" s="413"/>
      <c r="BW65" s="413"/>
      <c r="BX65" s="413"/>
      <c r="BY65" s="413"/>
      <c r="BZ65" s="413"/>
      <c r="CA65" s="413"/>
      <c r="CB65" s="413"/>
      <c r="CC65" s="413"/>
      <c r="CD65" s="413"/>
      <c r="CE65" s="413"/>
      <c r="CF65" s="413"/>
      <c r="CG65" s="413"/>
      <c r="CH65" s="413"/>
      <c r="CI65" s="413"/>
      <c r="CJ65" s="413"/>
      <c r="CK65" s="413"/>
      <c r="CL65" s="413"/>
      <c r="CM65" s="414"/>
      <c r="CN65" s="413"/>
      <c r="CO65" s="413"/>
      <c r="CP65" s="413"/>
      <c r="CQ65" s="413"/>
      <c r="CR65" s="413"/>
      <c r="CS65" s="413"/>
      <c r="CT65" s="413"/>
      <c r="CU65" s="413"/>
      <c r="CV65" s="413"/>
      <c r="CW65" s="414"/>
      <c r="CX65" s="413"/>
      <c r="CY65" s="413"/>
      <c r="CZ65" s="413"/>
      <c r="DA65" s="413"/>
      <c r="DB65" s="413"/>
      <c r="DC65" s="413"/>
      <c r="DD65" s="413"/>
      <c r="DE65" s="413"/>
      <c r="DF65" s="413"/>
      <c r="DG65" s="414"/>
      <c r="DH65" s="413"/>
      <c r="DI65" s="413"/>
      <c r="DJ65" s="413"/>
      <c r="DK65" s="413"/>
      <c r="DL65" s="413"/>
      <c r="DM65" s="413"/>
      <c r="DN65" s="413"/>
      <c r="DO65" s="413"/>
      <c r="DP65" s="413"/>
      <c r="DQ65" s="414"/>
      <c r="DR65" s="413"/>
      <c r="DS65" s="413"/>
      <c r="DT65" s="413"/>
      <c r="DU65" s="413"/>
      <c r="DV65" s="413"/>
      <c r="DW65" s="413"/>
      <c r="DX65" s="413"/>
      <c r="DY65" s="413"/>
      <c r="DZ65" s="413"/>
      <c r="EA65" s="413"/>
      <c r="EB65" s="413"/>
      <c r="EC65" s="413"/>
      <c r="ED65" s="413"/>
      <c r="EE65" s="413"/>
      <c r="EF65" s="413"/>
      <c r="EG65" s="413"/>
      <c r="EH65" s="413"/>
      <c r="EI65" s="413"/>
      <c r="EJ65" s="413"/>
      <c r="EK65" s="413"/>
      <c r="EL65" s="413"/>
      <c r="EM65" s="452"/>
      <c r="EN65" s="413"/>
      <c r="EO65" s="453"/>
      <c r="EP65" s="413"/>
      <c r="EQ65" s="434"/>
      <c r="ER65" s="434"/>
      <c r="ES65" s="434"/>
      <c r="ET65" s="434"/>
      <c r="EU65" s="434"/>
      <c r="EV65" s="434"/>
      <c r="EW65" s="434"/>
      <c r="EX65" s="434"/>
      <c r="EY65" s="434"/>
      <c r="EZ65" s="434"/>
      <c r="FA65" s="434"/>
      <c r="FB65" s="434"/>
      <c r="FC65" s="399"/>
      <c r="FD65" s="399"/>
      <c r="FE65" s="399"/>
      <c r="FF65" s="399"/>
      <c r="FG65" s="415"/>
      <c r="FH65" s="415"/>
      <c r="FI65" s="415"/>
      <c r="FJ65" s="415"/>
      <c r="FK65" s="415"/>
      <c r="FL65" s="415"/>
      <c r="FM65" s="415"/>
    </row>
    <row r="66" spans="1:169" hidden="1">
      <c r="A66" s="462" t="s">
        <v>20</v>
      </c>
      <c r="B66" s="460" t="s">
        <v>1331</v>
      </c>
      <c r="C66" s="412"/>
      <c r="D66" s="412"/>
      <c r="E66" s="412"/>
      <c r="F66" s="412"/>
      <c r="G66" s="412"/>
      <c r="H66" s="412"/>
      <c r="I66" s="412"/>
      <c r="J66" s="412"/>
      <c r="K66" s="412"/>
      <c r="L66" s="412"/>
      <c r="M66" s="413"/>
      <c r="N66" s="413"/>
      <c r="O66" s="413"/>
      <c r="P66" s="413"/>
      <c r="Q66" s="413"/>
      <c r="R66" s="413"/>
      <c r="S66" s="413"/>
      <c r="T66" s="413"/>
      <c r="U66" s="413"/>
      <c r="V66" s="413"/>
      <c r="W66" s="413"/>
      <c r="X66" s="413"/>
      <c r="Y66" s="413"/>
      <c r="Z66" s="413"/>
      <c r="AA66" s="413"/>
      <c r="AB66" s="413"/>
      <c r="AC66" s="413"/>
      <c r="AD66" s="413"/>
      <c r="AE66" s="413"/>
      <c r="AF66" s="413"/>
      <c r="AG66" s="413"/>
      <c r="AH66" s="413"/>
      <c r="AI66" s="413"/>
      <c r="AJ66" s="413"/>
      <c r="AK66" s="413"/>
      <c r="AL66" s="413"/>
      <c r="AM66" s="413"/>
      <c r="AN66" s="413"/>
      <c r="AO66" s="414"/>
      <c r="AP66" s="413"/>
      <c r="AQ66" s="413"/>
      <c r="AR66" s="413"/>
      <c r="AS66" s="413"/>
      <c r="AT66" s="413"/>
      <c r="AU66" s="413"/>
      <c r="AV66" s="413"/>
      <c r="AW66" s="413"/>
      <c r="AX66" s="413"/>
      <c r="AY66" s="414"/>
      <c r="AZ66" s="413"/>
      <c r="BA66" s="413"/>
      <c r="BB66" s="413"/>
      <c r="BC66" s="413"/>
      <c r="BD66" s="413"/>
      <c r="BE66" s="413"/>
      <c r="BF66" s="413"/>
      <c r="BG66" s="413"/>
      <c r="BH66" s="413"/>
      <c r="BI66" s="414"/>
      <c r="BJ66" s="413"/>
      <c r="BK66" s="413"/>
      <c r="BL66" s="413"/>
      <c r="BM66" s="413"/>
      <c r="BN66" s="413"/>
      <c r="BO66" s="413"/>
      <c r="BP66" s="413"/>
      <c r="BQ66" s="413"/>
      <c r="BR66" s="413"/>
      <c r="BS66" s="413"/>
      <c r="BT66" s="413"/>
      <c r="BU66" s="413"/>
      <c r="BV66" s="413"/>
      <c r="BW66" s="413"/>
      <c r="BX66" s="413"/>
      <c r="BY66" s="413"/>
      <c r="BZ66" s="413"/>
      <c r="CA66" s="413"/>
      <c r="CB66" s="413"/>
      <c r="CC66" s="413"/>
      <c r="CD66" s="413"/>
      <c r="CE66" s="413"/>
      <c r="CF66" s="413"/>
      <c r="CG66" s="413"/>
      <c r="CH66" s="413"/>
      <c r="CI66" s="413"/>
      <c r="CJ66" s="413"/>
      <c r="CK66" s="413"/>
      <c r="CL66" s="413"/>
      <c r="CM66" s="414"/>
      <c r="CN66" s="413"/>
      <c r="CO66" s="413"/>
      <c r="CP66" s="413"/>
      <c r="CQ66" s="413"/>
      <c r="CR66" s="413"/>
      <c r="CS66" s="413"/>
      <c r="CT66" s="413"/>
      <c r="CU66" s="413"/>
      <c r="CV66" s="413"/>
      <c r="CW66" s="414"/>
      <c r="CX66" s="413"/>
      <c r="CY66" s="413"/>
      <c r="CZ66" s="413"/>
      <c r="DA66" s="413"/>
      <c r="DB66" s="413"/>
      <c r="DC66" s="413"/>
      <c r="DD66" s="413"/>
      <c r="DE66" s="413"/>
      <c r="DF66" s="413"/>
      <c r="DG66" s="414"/>
      <c r="DH66" s="413"/>
      <c r="DI66" s="413"/>
      <c r="DJ66" s="413"/>
      <c r="DK66" s="413"/>
      <c r="DL66" s="413"/>
      <c r="DM66" s="413"/>
      <c r="DN66" s="413"/>
      <c r="DO66" s="413"/>
      <c r="DP66" s="413"/>
      <c r="DQ66" s="414"/>
      <c r="DR66" s="413"/>
      <c r="DS66" s="413"/>
      <c r="DT66" s="413"/>
      <c r="DU66" s="413"/>
      <c r="DV66" s="413"/>
      <c r="DW66" s="413"/>
      <c r="DX66" s="413"/>
      <c r="DY66" s="413"/>
      <c r="DZ66" s="413"/>
      <c r="EA66" s="413"/>
      <c r="EB66" s="413"/>
      <c r="EC66" s="413"/>
      <c r="ED66" s="413"/>
      <c r="EE66" s="413"/>
      <c r="EF66" s="413"/>
      <c r="EG66" s="413"/>
      <c r="EH66" s="413"/>
      <c r="EI66" s="413"/>
      <c r="EJ66" s="413"/>
      <c r="EK66" s="413"/>
      <c r="EL66" s="413"/>
      <c r="EM66" s="452"/>
      <c r="EN66" s="413"/>
      <c r="EO66" s="453"/>
      <c r="EP66" s="413"/>
      <c r="EQ66" s="434"/>
      <c r="ER66" s="434"/>
      <c r="ES66" s="434"/>
      <c r="ET66" s="434"/>
      <c r="EU66" s="434"/>
      <c r="EV66" s="434"/>
      <c r="EW66" s="434"/>
      <c r="EX66" s="434"/>
      <c r="EY66" s="434"/>
      <c r="EZ66" s="434"/>
      <c r="FA66" s="434"/>
      <c r="FB66" s="434"/>
      <c r="FC66" s="399"/>
      <c r="FD66" s="399"/>
      <c r="FE66" s="399"/>
      <c r="FF66" s="399"/>
      <c r="FG66" s="415"/>
      <c r="FH66" s="415"/>
      <c r="FI66" s="415"/>
      <c r="FJ66" s="415"/>
      <c r="FK66" s="415"/>
      <c r="FL66" s="415"/>
      <c r="FM66" s="415"/>
    </row>
    <row r="67" spans="1:169" hidden="1">
      <c r="A67" s="410" t="s">
        <v>82</v>
      </c>
      <c r="B67" s="465" t="s">
        <v>1332</v>
      </c>
      <c r="C67" s="412"/>
      <c r="D67" s="412"/>
      <c r="E67" s="412"/>
      <c r="F67" s="412"/>
      <c r="G67" s="412"/>
      <c r="H67" s="412"/>
      <c r="I67" s="412"/>
      <c r="J67" s="412"/>
      <c r="K67" s="412"/>
      <c r="L67" s="412"/>
      <c r="M67" s="413"/>
      <c r="N67" s="413"/>
      <c r="O67" s="413"/>
      <c r="P67" s="413"/>
      <c r="Q67" s="413"/>
      <c r="R67" s="413"/>
      <c r="S67" s="413"/>
      <c r="T67" s="413"/>
      <c r="U67" s="413"/>
      <c r="V67" s="413"/>
      <c r="W67" s="413"/>
      <c r="X67" s="413"/>
      <c r="Y67" s="413"/>
      <c r="Z67" s="413"/>
      <c r="AA67" s="413"/>
      <c r="AB67" s="413"/>
      <c r="AC67" s="413"/>
      <c r="AD67" s="413"/>
      <c r="AE67" s="413"/>
      <c r="AF67" s="413"/>
      <c r="AG67" s="413"/>
      <c r="AH67" s="413"/>
      <c r="AI67" s="413"/>
      <c r="AJ67" s="413"/>
      <c r="AK67" s="413"/>
      <c r="AL67" s="413"/>
      <c r="AM67" s="413"/>
      <c r="AN67" s="413"/>
      <c r="AO67" s="414"/>
      <c r="AP67" s="413"/>
      <c r="AQ67" s="413"/>
      <c r="AR67" s="413"/>
      <c r="AS67" s="413"/>
      <c r="AT67" s="413"/>
      <c r="AU67" s="413"/>
      <c r="AV67" s="413"/>
      <c r="AW67" s="413"/>
      <c r="AX67" s="413"/>
      <c r="AY67" s="414"/>
      <c r="AZ67" s="413"/>
      <c r="BA67" s="413"/>
      <c r="BB67" s="413"/>
      <c r="BC67" s="413"/>
      <c r="BD67" s="413"/>
      <c r="BE67" s="413"/>
      <c r="BF67" s="413"/>
      <c r="BG67" s="413"/>
      <c r="BH67" s="413"/>
      <c r="BI67" s="414"/>
      <c r="BJ67" s="413"/>
      <c r="BK67" s="413"/>
      <c r="BL67" s="413"/>
      <c r="BM67" s="413"/>
      <c r="BN67" s="413"/>
      <c r="BO67" s="413"/>
      <c r="BP67" s="413"/>
      <c r="BQ67" s="413"/>
      <c r="BR67" s="413"/>
      <c r="BS67" s="413"/>
      <c r="BT67" s="413"/>
      <c r="BU67" s="413"/>
      <c r="BV67" s="413"/>
      <c r="BW67" s="413"/>
      <c r="BX67" s="413"/>
      <c r="BY67" s="413"/>
      <c r="BZ67" s="413"/>
      <c r="CA67" s="413"/>
      <c r="CB67" s="413"/>
      <c r="CC67" s="413"/>
      <c r="CD67" s="413"/>
      <c r="CE67" s="413"/>
      <c r="CF67" s="413"/>
      <c r="CG67" s="413"/>
      <c r="CH67" s="413"/>
      <c r="CI67" s="413"/>
      <c r="CJ67" s="413"/>
      <c r="CK67" s="413"/>
      <c r="CL67" s="413"/>
      <c r="CM67" s="414"/>
      <c r="CN67" s="413"/>
      <c r="CO67" s="413"/>
      <c r="CP67" s="413"/>
      <c r="CQ67" s="413"/>
      <c r="CR67" s="413"/>
      <c r="CS67" s="413"/>
      <c r="CT67" s="413"/>
      <c r="CU67" s="413"/>
      <c r="CV67" s="413"/>
      <c r="CW67" s="414"/>
      <c r="CX67" s="413"/>
      <c r="CY67" s="413"/>
      <c r="CZ67" s="413"/>
      <c r="DA67" s="413"/>
      <c r="DB67" s="413"/>
      <c r="DC67" s="413"/>
      <c r="DD67" s="413"/>
      <c r="DE67" s="413"/>
      <c r="DF67" s="413"/>
      <c r="DG67" s="414"/>
      <c r="DH67" s="413"/>
      <c r="DI67" s="413"/>
      <c r="DJ67" s="413"/>
      <c r="DK67" s="413"/>
      <c r="DL67" s="413"/>
      <c r="DM67" s="413"/>
      <c r="DN67" s="413"/>
      <c r="DO67" s="413"/>
      <c r="DP67" s="413"/>
      <c r="DQ67" s="414"/>
      <c r="DR67" s="413"/>
      <c r="DS67" s="413"/>
      <c r="DT67" s="413"/>
      <c r="DU67" s="413"/>
      <c r="DV67" s="413"/>
      <c r="DW67" s="413"/>
      <c r="DX67" s="413"/>
      <c r="DY67" s="413"/>
      <c r="DZ67" s="413"/>
      <c r="EA67" s="413"/>
      <c r="EB67" s="413"/>
      <c r="EC67" s="413"/>
      <c r="ED67" s="413"/>
      <c r="EE67" s="413"/>
      <c r="EF67" s="413"/>
      <c r="EG67" s="413"/>
      <c r="EH67" s="413"/>
      <c r="EI67" s="413"/>
      <c r="EJ67" s="413"/>
      <c r="EK67" s="413"/>
      <c r="EL67" s="413"/>
      <c r="EM67" s="452"/>
      <c r="EN67" s="413"/>
      <c r="EO67" s="453"/>
      <c r="EP67" s="413"/>
      <c r="EQ67" s="434"/>
      <c r="ER67" s="434"/>
      <c r="ES67" s="434"/>
      <c r="ET67" s="434"/>
      <c r="EU67" s="434"/>
      <c r="EV67" s="434"/>
      <c r="EW67" s="434"/>
      <c r="EX67" s="434"/>
      <c r="EY67" s="434"/>
      <c r="EZ67" s="434"/>
      <c r="FA67" s="434"/>
      <c r="FB67" s="434"/>
      <c r="FC67" s="399"/>
      <c r="FD67" s="399"/>
      <c r="FE67" s="399"/>
      <c r="FF67" s="399"/>
      <c r="FG67" s="415"/>
      <c r="FH67" s="415"/>
      <c r="FI67" s="415"/>
      <c r="FJ67" s="415"/>
      <c r="FK67" s="415"/>
      <c r="FL67" s="415"/>
      <c r="FM67" s="415"/>
    </row>
    <row r="68" spans="1:169" hidden="1">
      <c r="A68" s="410" t="s">
        <v>83</v>
      </c>
      <c r="B68" s="465" t="s">
        <v>1333</v>
      </c>
      <c r="C68" s="412"/>
      <c r="D68" s="412"/>
      <c r="E68" s="412"/>
      <c r="F68" s="412"/>
      <c r="G68" s="412"/>
      <c r="H68" s="412"/>
      <c r="I68" s="412"/>
      <c r="J68" s="412"/>
      <c r="K68" s="412"/>
      <c r="L68" s="412"/>
      <c r="M68" s="413"/>
      <c r="N68" s="413"/>
      <c r="O68" s="413"/>
      <c r="P68" s="413"/>
      <c r="Q68" s="413"/>
      <c r="R68" s="413"/>
      <c r="S68" s="413"/>
      <c r="T68" s="413"/>
      <c r="U68" s="413"/>
      <c r="V68" s="413"/>
      <c r="W68" s="413"/>
      <c r="X68" s="413"/>
      <c r="Y68" s="413"/>
      <c r="Z68" s="413"/>
      <c r="AA68" s="413"/>
      <c r="AB68" s="413"/>
      <c r="AC68" s="413"/>
      <c r="AD68" s="413"/>
      <c r="AE68" s="413"/>
      <c r="AF68" s="413"/>
      <c r="AG68" s="413"/>
      <c r="AH68" s="413"/>
      <c r="AI68" s="413"/>
      <c r="AJ68" s="413"/>
      <c r="AK68" s="413"/>
      <c r="AL68" s="413"/>
      <c r="AM68" s="413"/>
      <c r="AN68" s="413"/>
      <c r="AO68" s="414"/>
      <c r="AP68" s="413"/>
      <c r="AQ68" s="413"/>
      <c r="AR68" s="413"/>
      <c r="AS68" s="413"/>
      <c r="AT68" s="413"/>
      <c r="AU68" s="413"/>
      <c r="AV68" s="413"/>
      <c r="AW68" s="413"/>
      <c r="AX68" s="413"/>
      <c r="AY68" s="414"/>
      <c r="AZ68" s="413"/>
      <c r="BA68" s="413"/>
      <c r="BB68" s="413"/>
      <c r="BC68" s="413"/>
      <c r="BD68" s="413"/>
      <c r="BE68" s="413"/>
      <c r="BF68" s="413"/>
      <c r="BG68" s="413"/>
      <c r="BH68" s="413"/>
      <c r="BI68" s="414"/>
      <c r="BJ68" s="413"/>
      <c r="BK68" s="413"/>
      <c r="BL68" s="413"/>
      <c r="BM68" s="413"/>
      <c r="BN68" s="413"/>
      <c r="BO68" s="413"/>
      <c r="BP68" s="413"/>
      <c r="BQ68" s="413"/>
      <c r="BR68" s="413"/>
      <c r="BS68" s="413"/>
      <c r="BT68" s="413"/>
      <c r="BU68" s="413"/>
      <c r="BV68" s="413"/>
      <c r="BW68" s="413"/>
      <c r="BX68" s="413"/>
      <c r="BY68" s="413"/>
      <c r="BZ68" s="413"/>
      <c r="CA68" s="413"/>
      <c r="CB68" s="413"/>
      <c r="CC68" s="413"/>
      <c r="CD68" s="413"/>
      <c r="CE68" s="413"/>
      <c r="CF68" s="413"/>
      <c r="CG68" s="413"/>
      <c r="CH68" s="413"/>
      <c r="CI68" s="413"/>
      <c r="CJ68" s="413"/>
      <c r="CK68" s="413"/>
      <c r="CL68" s="413"/>
      <c r="CM68" s="414"/>
      <c r="CN68" s="413"/>
      <c r="CO68" s="413"/>
      <c r="CP68" s="413"/>
      <c r="CQ68" s="413"/>
      <c r="CR68" s="413"/>
      <c r="CS68" s="413"/>
      <c r="CT68" s="413"/>
      <c r="CU68" s="413"/>
      <c r="CV68" s="413"/>
      <c r="CW68" s="414"/>
      <c r="CX68" s="413"/>
      <c r="CY68" s="413"/>
      <c r="CZ68" s="413"/>
      <c r="DA68" s="413"/>
      <c r="DB68" s="413"/>
      <c r="DC68" s="413"/>
      <c r="DD68" s="413"/>
      <c r="DE68" s="413"/>
      <c r="DF68" s="413"/>
      <c r="DG68" s="414"/>
      <c r="DH68" s="413"/>
      <c r="DI68" s="413"/>
      <c r="DJ68" s="413"/>
      <c r="DK68" s="413"/>
      <c r="DL68" s="413"/>
      <c r="DM68" s="413"/>
      <c r="DN68" s="413"/>
      <c r="DO68" s="413"/>
      <c r="DP68" s="413"/>
      <c r="DQ68" s="414"/>
      <c r="DR68" s="413"/>
      <c r="DS68" s="413"/>
      <c r="DT68" s="413"/>
      <c r="DU68" s="413"/>
      <c r="DV68" s="413"/>
      <c r="DW68" s="413"/>
      <c r="DX68" s="413"/>
      <c r="DY68" s="413"/>
      <c r="DZ68" s="413"/>
      <c r="EA68" s="413"/>
      <c r="EB68" s="413"/>
      <c r="EC68" s="413"/>
      <c r="ED68" s="413"/>
      <c r="EE68" s="413"/>
      <c r="EF68" s="413"/>
      <c r="EG68" s="413"/>
      <c r="EH68" s="413"/>
      <c r="EI68" s="413"/>
      <c r="EJ68" s="413"/>
      <c r="EK68" s="413"/>
      <c r="EL68" s="413"/>
      <c r="EM68" s="452"/>
      <c r="EN68" s="413"/>
      <c r="EO68" s="453"/>
      <c r="EP68" s="413"/>
      <c r="EQ68" s="434"/>
      <c r="ER68" s="434"/>
      <c r="ES68" s="434"/>
      <c r="ET68" s="434"/>
      <c r="EU68" s="434"/>
      <c r="EV68" s="434"/>
      <c r="EW68" s="434"/>
      <c r="EX68" s="434"/>
      <c r="EY68" s="434"/>
      <c r="EZ68" s="434"/>
      <c r="FA68" s="434"/>
      <c r="FB68" s="434"/>
      <c r="FC68" s="399"/>
      <c r="FD68" s="399"/>
      <c r="FE68" s="399"/>
      <c r="FF68" s="399"/>
      <c r="FG68" s="415"/>
      <c r="FH68" s="415"/>
      <c r="FI68" s="415"/>
      <c r="FJ68" s="415"/>
      <c r="FK68" s="415"/>
      <c r="FL68" s="415"/>
      <c r="FM68" s="415"/>
    </row>
    <row r="69" spans="1:169" hidden="1">
      <c r="A69" s="410" t="s">
        <v>86</v>
      </c>
      <c r="B69" s="465" t="s">
        <v>1334</v>
      </c>
      <c r="C69" s="412"/>
      <c r="D69" s="412"/>
      <c r="E69" s="412"/>
      <c r="F69" s="412"/>
      <c r="G69" s="412"/>
      <c r="H69" s="412"/>
      <c r="I69" s="412"/>
      <c r="J69" s="412"/>
      <c r="K69" s="412"/>
      <c r="L69" s="412"/>
      <c r="M69" s="413"/>
      <c r="N69" s="413"/>
      <c r="O69" s="413"/>
      <c r="P69" s="413"/>
      <c r="Q69" s="413"/>
      <c r="R69" s="413"/>
      <c r="S69" s="413"/>
      <c r="T69" s="413"/>
      <c r="U69" s="413"/>
      <c r="V69" s="413"/>
      <c r="W69" s="413"/>
      <c r="X69" s="413"/>
      <c r="Y69" s="413"/>
      <c r="Z69" s="413"/>
      <c r="AA69" s="413"/>
      <c r="AB69" s="413"/>
      <c r="AC69" s="413"/>
      <c r="AD69" s="413"/>
      <c r="AE69" s="413"/>
      <c r="AF69" s="413"/>
      <c r="AG69" s="413"/>
      <c r="AH69" s="413"/>
      <c r="AI69" s="413"/>
      <c r="AJ69" s="413"/>
      <c r="AK69" s="413"/>
      <c r="AL69" s="413"/>
      <c r="AM69" s="413"/>
      <c r="AN69" s="413"/>
      <c r="AO69" s="414"/>
      <c r="AP69" s="413"/>
      <c r="AQ69" s="413"/>
      <c r="AR69" s="413"/>
      <c r="AS69" s="413"/>
      <c r="AT69" s="413"/>
      <c r="AU69" s="413"/>
      <c r="AV69" s="413"/>
      <c r="AW69" s="413"/>
      <c r="AX69" s="413"/>
      <c r="AY69" s="414"/>
      <c r="AZ69" s="413"/>
      <c r="BA69" s="413"/>
      <c r="BB69" s="413"/>
      <c r="BC69" s="413"/>
      <c r="BD69" s="413"/>
      <c r="BE69" s="413"/>
      <c r="BF69" s="413"/>
      <c r="BG69" s="413"/>
      <c r="BH69" s="413"/>
      <c r="BI69" s="414"/>
      <c r="BJ69" s="413"/>
      <c r="BK69" s="413"/>
      <c r="BL69" s="413"/>
      <c r="BM69" s="413"/>
      <c r="BN69" s="413"/>
      <c r="BO69" s="413"/>
      <c r="BP69" s="413"/>
      <c r="BQ69" s="413"/>
      <c r="BR69" s="413"/>
      <c r="BS69" s="413"/>
      <c r="BT69" s="413"/>
      <c r="BU69" s="413"/>
      <c r="BV69" s="413"/>
      <c r="BW69" s="413"/>
      <c r="BX69" s="413"/>
      <c r="BY69" s="413"/>
      <c r="BZ69" s="413"/>
      <c r="CA69" s="413"/>
      <c r="CB69" s="413"/>
      <c r="CC69" s="413"/>
      <c r="CD69" s="413"/>
      <c r="CE69" s="413"/>
      <c r="CF69" s="413"/>
      <c r="CG69" s="413"/>
      <c r="CH69" s="413"/>
      <c r="CI69" s="413"/>
      <c r="CJ69" s="413"/>
      <c r="CK69" s="413"/>
      <c r="CL69" s="413"/>
      <c r="CM69" s="414"/>
      <c r="CN69" s="413"/>
      <c r="CO69" s="413"/>
      <c r="CP69" s="413"/>
      <c r="CQ69" s="413"/>
      <c r="CR69" s="413"/>
      <c r="CS69" s="413"/>
      <c r="CT69" s="413"/>
      <c r="CU69" s="413"/>
      <c r="CV69" s="413"/>
      <c r="CW69" s="414"/>
      <c r="CX69" s="413"/>
      <c r="CY69" s="413"/>
      <c r="CZ69" s="413"/>
      <c r="DA69" s="413"/>
      <c r="DB69" s="413"/>
      <c r="DC69" s="413"/>
      <c r="DD69" s="413"/>
      <c r="DE69" s="413"/>
      <c r="DF69" s="413"/>
      <c r="DG69" s="414"/>
      <c r="DH69" s="413"/>
      <c r="DI69" s="413"/>
      <c r="DJ69" s="413"/>
      <c r="DK69" s="413"/>
      <c r="DL69" s="413"/>
      <c r="DM69" s="413"/>
      <c r="DN69" s="413"/>
      <c r="DO69" s="413"/>
      <c r="DP69" s="413"/>
      <c r="DQ69" s="414"/>
      <c r="DR69" s="413"/>
      <c r="DS69" s="413"/>
      <c r="DT69" s="413"/>
      <c r="DU69" s="413"/>
      <c r="DV69" s="413"/>
      <c r="DW69" s="413"/>
      <c r="DX69" s="413"/>
      <c r="DY69" s="413"/>
      <c r="DZ69" s="413"/>
      <c r="EA69" s="413"/>
      <c r="EB69" s="413"/>
      <c r="EC69" s="413"/>
      <c r="ED69" s="413"/>
      <c r="EE69" s="413"/>
      <c r="EF69" s="413"/>
      <c r="EG69" s="413"/>
      <c r="EH69" s="413"/>
      <c r="EI69" s="413"/>
      <c r="EJ69" s="413"/>
      <c r="EK69" s="413"/>
      <c r="EL69" s="413"/>
      <c r="EM69" s="452"/>
      <c r="EN69" s="413"/>
      <c r="EO69" s="453"/>
      <c r="EP69" s="413"/>
      <c r="EQ69" s="434"/>
      <c r="ER69" s="434"/>
      <c r="ES69" s="434"/>
      <c r="ET69" s="434"/>
      <c r="EU69" s="434"/>
      <c r="EV69" s="434"/>
      <c r="EW69" s="434"/>
      <c r="EX69" s="434"/>
      <c r="EY69" s="434"/>
      <c r="EZ69" s="434"/>
      <c r="FA69" s="434"/>
      <c r="FB69" s="434"/>
      <c r="FC69" s="399"/>
      <c r="FD69" s="399"/>
      <c r="FE69" s="399"/>
      <c r="FF69" s="399"/>
      <c r="FG69" s="415"/>
      <c r="FH69" s="415"/>
      <c r="FI69" s="415"/>
      <c r="FJ69" s="415"/>
      <c r="FK69" s="415"/>
      <c r="FL69" s="415"/>
      <c r="FM69" s="415"/>
    </row>
    <row r="70" spans="1:169" hidden="1">
      <c r="A70" s="410" t="s">
        <v>217</v>
      </c>
      <c r="B70" s="465" t="s">
        <v>1335</v>
      </c>
      <c r="C70" s="412"/>
      <c r="D70" s="412"/>
      <c r="E70" s="412"/>
      <c r="F70" s="412"/>
      <c r="G70" s="412"/>
      <c r="H70" s="412"/>
      <c r="I70" s="412"/>
      <c r="J70" s="412"/>
      <c r="K70" s="412"/>
      <c r="L70" s="412"/>
      <c r="M70" s="413"/>
      <c r="N70" s="413"/>
      <c r="O70" s="413"/>
      <c r="P70" s="413"/>
      <c r="Q70" s="413"/>
      <c r="R70" s="413"/>
      <c r="S70" s="413"/>
      <c r="T70" s="413"/>
      <c r="U70" s="413"/>
      <c r="V70" s="413"/>
      <c r="W70" s="413"/>
      <c r="X70" s="413"/>
      <c r="Y70" s="413"/>
      <c r="Z70" s="413"/>
      <c r="AA70" s="413"/>
      <c r="AB70" s="413"/>
      <c r="AC70" s="413"/>
      <c r="AD70" s="413"/>
      <c r="AE70" s="413"/>
      <c r="AF70" s="413"/>
      <c r="AG70" s="413"/>
      <c r="AH70" s="413"/>
      <c r="AI70" s="413"/>
      <c r="AJ70" s="413"/>
      <c r="AK70" s="413"/>
      <c r="AL70" s="413"/>
      <c r="AM70" s="413"/>
      <c r="AN70" s="413"/>
      <c r="AO70" s="414"/>
      <c r="AP70" s="413"/>
      <c r="AQ70" s="413"/>
      <c r="AR70" s="413"/>
      <c r="AS70" s="413"/>
      <c r="AT70" s="413"/>
      <c r="AU70" s="413"/>
      <c r="AV70" s="413"/>
      <c r="AW70" s="413"/>
      <c r="AX70" s="413"/>
      <c r="AY70" s="414"/>
      <c r="AZ70" s="413"/>
      <c r="BA70" s="413"/>
      <c r="BB70" s="413"/>
      <c r="BC70" s="413"/>
      <c r="BD70" s="413"/>
      <c r="BE70" s="413"/>
      <c r="BF70" s="413"/>
      <c r="BG70" s="413"/>
      <c r="BH70" s="413"/>
      <c r="BI70" s="414"/>
      <c r="BJ70" s="413"/>
      <c r="BK70" s="413"/>
      <c r="BL70" s="413"/>
      <c r="BM70" s="413"/>
      <c r="BN70" s="413"/>
      <c r="BO70" s="413"/>
      <c r="BP70" s="413"/>
      <c r="BQ70" s="413"/>
      <c r="BR70" s="413"/>
      <c r="BS70" s="413"/>
      <c r="BT70" s="413"/>
      <c r="BU70" s="413"/>
      <c r="BV70" s="413"/>
      <c r="BW70" s="413"/>
      <c r="BX70" s="413"/>
      <c r="BY70" s="413"/>
      <c r="BZ70" s="413"/>
      <c r="CA70" s="413"/>
      <c r="CB70" s="413"/>
      <c r="CC70" s="413"/>
      <c r="CD70" s="413"/>
      <c r="CE70" s="413"/>
      <c r="CF70" s="413"/>
      <c r="CG70" s="413"/>
      <c r="CH70" s="413"/>
      <c r="CI70" s="413"/>
      <c r="CJ70" s="413"/>
      <c r="CK70" s="413"/>
      <c r="CL70" s="413"/>
      <c r="CM70" s="414"/>
      <c r="CN70" s="413"/>
      <c r="CO70" s="413"/>
      <c r="CP70" s="413"/>
      <c r="CQ70" s="413"/>
      <c r="CR70" s="413"/>
      <c r="CS70" s="413"/>
      <c r="CT70" s="413"/>
      <c r="CU70" s="413"/>
      <c r="CV70" s="413"/>
      <c r="CW70" s="414"/>
      <c r="CX70" s="413"/>
      <c r="CY70" s="413"/>
      <c r="CZ70" s="413"/>
      <c r="DA70" s="413"/>
      <c r="DB70" s="413"/>
      <c r="DC70" s="413"/>
      <c r="DD70" s="413"/>
      <c r="DE70" s="413"/>
      <c r="DF70" s="413"/>
      <c r="DG70" s="414"/>
      <c r="DH70" s="413"/>
      <c r="DI70" s="413"/>
      <c r="DJ70" s="413"/>
      <c r="DK70" s="413"/>
      <c r="DL70" s="413"/>
      <c r="DM70" s="413"/>
      <c r="DN70" s="413"/>
      <c r="DO70" s="413"/>
      <c r="DP70" s="413"/>
      <c r="DQ70" s="414"/>
      <c r="DR70" s="413"/>
      <c r="DS70" s="413"/>
      <c r="DT70" s="413"/>
      <c r="DU70" s="413"/>
      <c r="DV70" s="413"/>
      <c r="DW70" s="413"/>
      <c r="DX70" s="413"/>
      <c r="DY70" s="413"/>
      <c r="DZ70" s="413"/>
      <c r="EA70" s="413"/>
      <c r="EB70" s="413"/>
      <c r="EC70" s="413"/>
      <c r="ED70" s="413"/>
      <c r="EE70" s="413"/>
      <c r="EF70" s="413"/>
      <c r="EG70" s="413"/>
      <c r="EH70" s="413"/>
      <c r="EI70" s="413"/>
      <c r="EJ70" s="413"/>
      <c r="EK70" s="413"/>
      <c r="EL70" s="413"/>
      <c r="EM70" s="452"/>
      <c r="EN70" s="413"/>
      <c r="EO70" s="453"/>
      <c r="EP70" s="413"/>
      <c r="EQ70" s="434"/>
      <c r="ER70" s="434"/>
      <c r="ES70" s="434"/>
      <c r="ET70" s="434"/>
      <c r="EU70" s="434"/>
      <c r="EV70" s="434"/>
      <c r="EW70" s="434"/>
      <c r="EX70" s="434"/>
      <c r="EY70" s="434"/>
      <c r="EZ70" s="434"/>
      <c r="FA70" s="434"/>
      <c r="FB70" s="434"/>
      <c r="FC70" s="399"/>
      <c r="FD70" s="399"/>
      <c r="FE70" s="399"/>
      <c r="FF70" s="399"/>
      <c r="FG70" s="415"/>
      <c r="FH70" s="415"/>
      <c r="FI70" s="415"/>
      <c r="FJ70" s="415"/>
      <c r="FK70" s="415"/>
      <c r="FL70" s="415"/>
      <c r="FM70" s="415"/>
    </row>
    <row r="71" spans="1:169" hidden="1">
      <c r="A71" s="410" t="s">
        <v>218</v>
      </c>
      <c r="B71" s="465" t="s">
        <v>1336</v>
      </c>
      <c r="C71" s="412"/>
      <c r="D71" s="412"/>
      <c r="E71" s="412"/>
      <c r="F71" s="412"/>
      <c r="G71" s="412"/>
      <c r="H71" s="412"/>
      <c r="I71" s="412"/>
      <c r="J71" s="412"/>
      <c r="K71" s="412"/>
      <c r="L71" s="412"/>
      <c r="M71" s="413"/>
      <c r="N71" s="413"/>
      <c r="O71" s="413"/>
      <c r="P71" s="413"/>
      <c r="Q71" s="413"/>
      <c r="R71" s="413"/>
      <c r="S71" s="413"/>
      <c r="T71" s="413"/>
      <c r="U71" s="413"/>
      <c r="V71" s="413"/>
      <c r="W71" s="413"/>
      <c r="X71" s="413"/>
      <c r="Y71" s="413"/>
      <c r="Z71" s="413"/>
      <c r="AA71" s="413"/>
      <c r="AB71" s="413"/>
      <c r="AC71" s="413"/>
      <c r="AD71" s="413"/>
      <c r="AE71" s="413"/>
      <c r="AF71" s="413"/>
      <c r="AG71" s="413"/>
      <c r="AH71" s="413"/>
      <c r="AI71" s="413"/>
      <c r="AJ71" s="413"/>
      <c r="AK71" s="413"/>
      <c r="AL71" s="413"/>
      <c r="AM71" s="413"/>
      <c r="AN71" s="413"/>
      <c r="AO71" s="414"/>
      <c r="AP71" s="413"/>
      <c r="AQ71" s="413"/>
      <c r="AR71" s="413"/>
      <c r="AS71" s="413"/>
      <c r="AT71" s="413"/>
      <c r="AU71" s="413"/>
      <c r="AV71" s="413"/>
      <c r="AW71" s="413"/>
      <c r="AX71" s="413"/>
      <c r="AY71" s="414"/>
      <c r="AZ71" s="413"/>
      <c r="BA71" s="413"/>
      <c r="BB71" s="413"/>
      <c r="BC71" s="413"/>
      <c r="BD71" s="413"/>
      <c r="BE71" s="413"/>
      <c r="BF71" s="413"/>
      <c r="BG71" s="413"/>
      <c r="BH71" s="413"/>
      <c r="BI71" s="414"/>
      <c r="BJ71" s="413"/>
      <c r="BK71" s="413"/>
      <c r="BL71" s="413"/>
      <c r="BM71" s="413"/>
      <c r="BN71" s="413"/>
      <c r="BO71" s="413"/>
      <c r="BP71" s="413"/>
      <c r="BQ71" s="413"/>
      <c r="BR71" s="413"/>
      <c r="BS71" s="413"/>
      <c r="BT71" s="413"/>
      <c r="BU71" s="413"/>
      <c r="BV71" s="413"/>
      <c r="BW71" s="413"/>
      <c r="BX71" s="413"/>
      <c r="BY71" s="413"/>
      <c r="BZ71" s="413"/>
      <c r="CA71" s="413"/>
      <c r="CB71" s="413"/>
      <c r="CC71" s="413"/>
      <c r="CD71" s="413"/>
      <c r="CE71" s="413"/>
      <c r="CF71" s="413"/>
      <c r="CG71" s="413"/>
      <c r="CH71" s="413"/>
      <c r="CI71" s="413"/>
      <c r="CJ71" s="413"/>
      <c r="CK71" s="413"/>
      <c r="CL71" s="413"/>
      <c r="CM71" s="414"/>
      <c r="CN71" s="413"/>
      <c r="CO71" s="413"/>
      <c r="CP71" s="413"/>
      <c r="CQ71" s="413"/>
      <c r="CR71" s="413"/>
      <c r="CS71" s="413"/>
      <c r="CT71" s="413"/>
      <c r="CU71" s="413"/>
      <c r="CV71" s="413"/>
      <c r="CW71" s="414"/>
      <c r="CX71" s="413"/>
      <c r="CY71" s="413"/>
      <c r="CZ71" s="413"/>
      <c r="DA71" s="413"/>
      <c r="DB71" s="413"/>
      <c r="DC71" s="413"/>
      <c r="DD71" s="413"/>
      <c r="DE71" s="413"/>
      <c r="DF71" s="413"/>
      <c r="DG71" s="414"/>
      <c r="DH71" s="413"/>
      <c r="DI71" s="413"/>
      <c r="DJ71" s="413"/>
      <c r="DK71" s="413"/>
      <c r="DL71" s="413"/>
      <c r="DM71" s="413"/>
      <c r="DN71" s="413"/>
      <c r="DO71" s="413"/>
      <c r="DP71" s="413"/>
      <c r="DQ71" s="414"/>
      <c r="DR71" s="413"/>
      <c r="DS71" s="413"/>
      <c r="DT71" s="413"/>
      <c r="DU71" s="413"/>
      <c r="DV71" s="413"/>
      <c r="DW71" s="413"/>
      <c r="DX71" s="413"/>
      <c r="DY71" s="413"/>
      <c r="DZ71" s="413"/>
      <c r="EA71" s="413"/>
      <c r="EB71" s="413"/>
      <c r="EC71" s="413"/>
      <c r="ED71" s="413"/>
      <c r="EE71" s="413"/>
      <c r="EF71" s="413"/>
      <c r="EG71" s="413"/>
      <c r="EH71" s="413"/>
      <c r="EI71" s="413"/>
      <c r="EJ71" s="413"/>
      <c r="EK71" s="413"/>
      <c r="EL71" s="413"/>
      <c r="EM71" s="452"/>
      <c r="EN71" s="413"/>
      <c r="EO71" s="453"/>
      <c r="EP71" s="413"/>
      <c r="EQ71" s="434"/>
      <c r="ER71" s="434"/>
      <c r="ES71" s="434"/>
      <c r="ET71" s="434"/>
      <c r="EU71" s="434"/>
      <c r="EV71" s="434"/>
      <c r="EW71" s="434"/>
      <c r="EX71" s="434"/>
      <c r="EY71" s="434"/>
      <c r="EZ71" s="434"/>
      <c r="FA71" s="434"/>
      <c r="FB71" s="434"/>
      <c r="FC71" s="399"/>
      <c r="FD71" s="399"/>
      <c r="FE71" s="399"/>
      <c r="FF71" s="399"/>
      <c r="FG71" s="415"/>
      <c r="FH71" s="415"/>
      <c r="FI71" s="415"/>
      <c r="FJ71" s="415"/>
      <c r="FK71" s="415"/>
      <c r="FL71" s="415"/>
      <c r="FM71" s="415"/>
    </row>
    <row r="72" spans="1:169" hidden="1">
      <c r="A72" s="410" t="s">
        <v>1297</v>
      </c>
      <c r="B72" s="465" t="s">
        <v>1337</v>
      </c>
      <c r="C72" s="412"/>
      <c r="D72" s="412"/>
      <c r="E72" s="412"/>
      <c r="F72" s="412"/>
      <c r="G72" s="412"/>
      <c r="H72" s="412"/>
      <c r="I72" s="412"/>
      <c r="J72" s="412"/>
      <c r="K72" s="412"/>
      <c r="L72" s="412"/>
      <c r="M72" s="413"/>
      <c r="N72" s="413"/>
      <c r="O72" s="413"/>
      <c r="P72" s="413"/>
      <c r="Q72" s="413"/>
      <c r="R72" s="413"/>
      <c r="S72" s="413"/>
      <c r="T72" s="413"/>
      <c r="U72" s="413"/>
      <c r="V72" s="413"/>
      <c r="W72" s="413"/>
      <c r="X72" s="413"/>
      <c r="Y72" s="413"/>
      <c r="Z72" s="413"/>
      <c r="AA72" s="413"/>
      <c r="AB72" s="413"/>
      <c r="AC72" s="413"/>
      <c r="AD72" s="413"/>
      <c r="AE72" s="413"/>
      <c r="AF72" s="413"/>
      <c r="AG72" s="413"/>
      <c r="AH72" s="413"/>
      <c r="AI72" s="413"/>
      <c r="AJ72" s="413"/>
      <c r="AK72" s="413"/>
      <c r="AL72" s="413"/>
      <c r="AM72" s="413"/>
      <c r="AN72" s="413"/>
      <c r="AO72" s="414"/>
      <c r="AP72" s="413"/>
      <c r="AQ72" s="413"/>
      <c r="AR72" s="413"/>
      <c r="AS72" s="413"/>
      <c r="AT72" s="413"/>
      <c r="AU72" s="413"/>
      <c r="AV72" s="413"/>
      <c r="AW72" s="413"/>
      <c r="AX72" s="413"/>
      <c r="AY72" s="414"/>
      <c r="AZ72" s="413"/>
      <c r="BA72" s="413"/>
      <c r="BB72" s="413"/>
      <c r="BC72" s="413"/>
      <c r="BD72" s="413"/>
      <c r="BE72" s="413"/>
      <c r="BF72" s="413"/>
      <c r="BG72" s="413"/>
      <c r="BH72" s="413"/>
      <c r="BI72" s="414"/>
      <c r="BJ72" s="413"/>
      <c r="BK72" s="413"/>
      <c r="BL72" s="413"/>
      <c r="BM72" s="413"/>
      <c r="BN72" s="413"/>
      <c r="BO72" s="413"/>
      <c r="BP72" s="413"/>
      <c r="BQ72" s="413"/>
      <c r="BR72" s="413"/>
      <c r="BS72" s="413"/>
      <c r="BT72" s="413"/>
      <c r="BU72" s="413"/>
      <c r="BV72" s="413"/>
      <c r="BW72" s="413"/>
      <c r="BX72" s="413"/>
      <c r="BY72" s="413"/>
      <c r="BZ72" s="413"/>
      <c r="CA72" s="413"/>
      <c r="CB72" s="413"/>
      <c r="CC72" s="413"/>
      <c r="CD72" s="413"/>
      <c r="CE72" s="413"/>
      <c r="CF72" s="413"/>
      <c r="CG72" s="413"/>
      <c r="CH72" s="413"/>
      <c r="CI72" s="413"/>
      <c r="CJ72" s="413"/>
      <c r="CK72" s="413"/>
      <c r="CL72" s="413"/>
      <c r="CM72" s="414"/>
      <c r="CN72" s="413"/>
      <c r="CO72" s="413"/>
      <c r="CP72" s="413"/>
      <c r="CQ72" s="413"/>
      <c r="CR72" s="413"/>
      <c r="CS72" s="413"/>
      <c r="CT72" s="413"/>
      <c r="CU72" s="413"/>
      <c r="CV72" s="413"/>
      <c r="CW72" s="414"/>
      <c r="CX72" s="413"/>
      <c r="CY72" s="413"/>
      <c r="CZ72" s="413"/>
      <c r="DA72" s="413"/>
      <c r="DB72" s="413"/>
      <c r="DC72" s="413"/>
      <c r="DD72" s="413"/>
      <c r="DE72" s="413"/>
      <c r="DF72" s="413"/>
      <c r="DG72" s="414"/>
      <c r="DH72" s="413"/>
      <c r="DI72" s="413"/>
      <c r="DJ72" s="413"/>
      <c r="DK72" s="413"/>
      <c r="DL72" s="413"/>
      <c r="DM72" s="413"/>
      <c r="DN72" s="413"/>
      <c r="DO72" s="413"/>
      <c r="DP72" s="413"/>
      <c r="DQ72" s="414"/>
      <c r="DR72" s="413"/>
      <c r="DS72" s="413"/>
      <c r="DT72" s="413"/>
      <c r="DU72" s="413"/>
      <c r="DV72" s="413"/>
      <c r="DW72" s="413"/>
      <c r="DX72" s="413"/>
      <c r="DY72" s="413"/>
      <c r="DZ72" s="413"/>
      <c r="EA72" s="413"/>
      <c r="EB72" s="413"/>
      <c r="EC72" s="413"/>
      <c r="ED72" s="413"/>
      <c r="EE72" s="413"/>
      <c r="EF72" s="413"/>
      <c r="EG72" s="413"/>
      <c r="EH72" s="413"/>
      <c r="EI72" s="413"/>
      <c r="EJ72" s="413"/>
      <c r="EK72" s="413"/>
      <c r="EL72" s="413"/>
      <c r="EM72" s="452"/>
      <c r="EN72" s="413"/>
      <c r="EO72" s="453"/>
      <c r="EP72" s="413"/>
      <c r="EQ72" s="434"/>
      <c r="ER72" s="434"/>
      <c r="ES72" s="434"/>
      <c r="ET72" s="434"/>
      <c r="EU72" s="434"/>
      <c r="EV72" s="434"/>
      <c r="EW72" s="434"/>
      <c r="EX72" s="434"/>
      <c r="EY72" s="434"/>
      <c r="EZ72" s="434"/>
      <c r="FA72" s="434"/>
      <c r="FB72" s="434"/>
      <c r="FC72" s="399"/>
      <c r="FD72" s="399"/>
      <c r="FE72" s="399"/>
      <c r="FF72" s="399"/>
      <c r="FG72" s="415"/>
      <c r="FH72" s="415"/>
      <c r="FI72" s="415"/>
      <c r="FJ72" s="415"/>
      <c r="FK72" s="415"/>
      <c r="FL72" s="415"/>
      <c r="FM72" s="415"/>
    </row>
    <row r="73" spans="1:169" hidden="1">
      <c r="A73" s="410" t="s">
        <v>1298</v>
      </c>
      <c r="B73" s="465" t="s">
        <v>1338</v>
      </c>
      <c r="C73" s="412"/>
      <c r="D73" s="412"/>
      <c r="E73" s="412"/>
      <c r="F73" s="412"/>
      <c r="G73" s="412"/>
      <c r="H73" s="412"/>
      <c r="I73" s="412"/>
      <c r="J73" s="412"/>
      <c r="K73" s="412"/>
      <c r="L73" s="412"/>
      <c r="M73" s="413"/>
      <c r="N73" s="413"/>
      <c r="O73" s="413"/>
      <c r="P73" s="413"/>
      <c r="Q73" s="413"/>
      <c r="R73" s="413"/>
      <c r="S73" s="413"/>
      <c r="T73" s="413"/>
      <c r="U73" s="413"/>
      <c r="V73" s="413"/>
      <c r="W73" s="413"/>
      <c r="X73" s="413"/>
      <c r="Y73" s="413"/>
      <c r="Z73" s="413"/>
      <c r="AA73" s="413"/>
      <c r="AB73" s="413"/>
      <c r="AC73" s="413"/>
      <c r="AD73" s="413"/>
      <c r="AE73" s="413"/>
      <c r="AF73" s="413"/>
      <c r="AG73" s="413"/>
      <c r="AH73" s="413"/>
      <c r="AI73" s="413"/>
      <c r="AJ73" s="413"/>
      <c r="AK73" s="413"/>
      <c r="AL73" s="413"/>
      <c r="AM73" s="413"/>
      <c r="AN73" s="413"/>
      <c r="AO73" s="414"/>
      <c r="AP73" s="413"/>
      <c r="AQ73" s="413"/>
      <c r="AR73" s="413"/>
      <c r="AS73" s="413"/>
      <c r="AT73" s="413"/>
      <c r="AU73" s="413"/>
      <c r="AV73" s="413"/>
      <c r="AW73" s="413"/>
      <c r="AX73" s="413"/>
      <c r="AY73" s="414"/>
      <c r="AZ73" s="413"/>
      <c r="BA73" s="413"/>
      <c r="BB73" s="413"/>
      <c r="BC73" s="413"/>
      <c r="BD73" s="413"/>
      <c r="BE73" s="413"/>
      <c r="BF73" s="413"/>
      <c r="BG73" s="413"/>
      <c r="BH73" s="413"/>
      <c r="BI73" s="414"/>
      <c r="BJ73" s="413"/>
      <c r="BK73" s="413"/>
      <c r="BL73" s="413"/>
      <c r="BM73" s="413"/>
      <c r="BN73" s="413"/>
      <c r="BO73" s="413"/>
      <c r="BP73" s="413"/>
      <c r="BQ73" s="413"/>
      <c r="BR73" s="413"/>
      <c r="BS73" s="413"/>
      <c r="BT73" s="413"/>
      <c r="BU73" s="413"/>
      <c r="BV73" s="413"/>
      <c r="BW73" s="413"/>
      <c r="BX73" s="413"/>
      <c r="BY73" s="413"/>
      <c r="BZ73" s="413"/>
      <c r="CA73" s="413"/>
      <c r="CB73" s="413"/>
      <c r="CC73" s="413"/>
      <c r="CD73" s="413"/>
      <c r="CE73" s="413"/>
      <c r="CF73" s="413"/>
      <c r="CG73" s="413"/>
      <c r="CH73" s="413"/>
      <c r="CI73" s="413"/>
      <c r="CJ73" s="413"/>
      <c r="CK73" s="413"/>
      <c r="CL73" s="413"/>
      <c r="CM73" s="414"/>
      <c r="CN73" s="413"/>
      <c r="CO73" s="413"/>
      <c r="CP73" s="413"/>
      <c r="CQ73" s="413"/>
      <c r="CR73" s="413"/>
      <c r="CS73" s="413"/>
      <c r="CT73" s="413"/>
      <c r="CU73" s="413"/>
      <c r="CV73" s="413"/>
      <c r="CW73" s="414"/>
      <c r="CX73" s="413"/>
      <c r="CY73" s="413"/>
      <c r="CZ73" s="413"/>
      <c r="DA73" s="413"/>
      <c r="DB73" s="413"/>
      <c r="DC73" s="413"/>
      <c r="DD73" s="413"/>
      <c r="DE73" s="413"/>
      <c r="DF73" s="413"/>
      <c r="DG73" s="414"/>
      <c r="DH73" s="413"/>
      <c r="DI73" s="413"/>
      <c r="DJ73" s="413"/>
      <c r="DK73" s="413"/>
      <c r="DL73" s="413"/>
      <c r="DM73" s="413"/>
      <c r="DN73" s="413"/>
      <c r="DO73" s="413"/>
      <c r="DP73" s="413"/>
      <c r="DQ73" s="414"/>
      <c r="DR73" s="413"/>
      <c r="DS73" s="413"/>
      <c r="DT73" s="413"/>
      <c r="DU73" s="413"/>
      <c r="DV73" s="413"/>
      <c r="DW73" s="413"/>
      <c r="DX73" s="413"/>
      <c r="DY73" s="413"/>
      <c r="DZ73" s="413"/>
      <c r="EA73" s="413"/>
      <c r="EB73" s="413"/>
      <c r="EC73" s="413"/>
      <c r="ED73" s="413"/>
      <c r="EE73" s="413"/>
      <c r="EF73" s="413"/>
      <c r="EG73" s="413"/>
      <c r="EH73" s="413"/>
      <c r="EI73" s="413"/>
      <c r="EJ73" s="413"/>
      <c r="EK73" s="413"/>
      <c r="EL73" s="413"/>
      <c r="EM73" s="452"/>
      <c r="EN73" s="413"/>
      <c r="EO73" s="453"/>
      <c r="EP73" s="413"/>
      <c r="EQ73" s="434"/>
      <c r="ER73" s="434"/>
      <c r="ES73" s="434"/>
      <c r="ET73" s="434"/>
      <c r="EU73" s="434"/>
      <c r="EV73" s="434"/>
      <c r="EW73" s="434"/>
      <c r="EX73" s="434"/>
      <c r="EY73" s="434"/>
      <c r="EZ73" s="434"/>
      <c r="FA73" s="434"/>
      <c r="FB73" s="434"/>
      <c r="FC73" s="399"/>
      <c r="FD73" s="399"/>
      <c r="FE73" s="399"/>
      <c r="FF73" s="399"/>
      <c r="FG73" s="415"/>
      <c r="FH73" s="415"/>
      <c r="FI73" s="415"/>
      <c r="FJ73" s="415"/>
      <c r="FK73" s="415"/>
      <c r="FL73" s="415"/>
      <c r="FM73" s="415"/>
    </row>
    <row r="74" spans="1:169" hidden="1">
      <c r="A74" s="410" t="s">
        <v>1299</v>
      </c>
      <c r="B74" s="465" t="s">
        <v>1339</v>
      </c>
      <c r="C74" s="412"/>
      <c r="D74" s="412"/>
      <c r="E74" s="412"/>
      <c r="F74" s="412"/>
      <c r="G74" s="412"/>
      <c r="H74" s="412"/>
      <c r="I74" s="412"/>
      <c r="J74" s="412"/>
      <c r="K74" s="412"/>
      <c r="L74" s="412"/>
      <c r="M74" s="413"/>
      <c r="N74" s="413"/>
      <c r="O74" s="413"/>
      <c r="P74" s="413"/>
      <c r="Q74" s="413"/>
      <c r="R74" s="413"/>
      <c r="S74" s="413"/>
      <c r="T74" s="413"/>
      <c r="U74" s="413"/>
      <c r="V74" s="413"/>
      <c r="W74" s="413"/>
      <c r="X74" s="413"/>
      <c r="Y74" s="413"/>
      <c r="Z74" s="413"/>
      <c r="AA74" s="413"/>
      <c r="AB74" s="413"/>
      <c r="AC74" s="413"/>
      <c r="AD74" s="413"/>
      <c r="AE74" s="413"/>
      <c r="AF74" s="413"/>
      <c r="AG74" s="413"/>
      <c r="AH74" s="413"/>
      <c r="AI74" s="413"/>
      <c r="AJ74" s="413"/>
      <c r="AK74" s="413"/>
      <c r="AL74" s="413"/>
      <c r="AM74" s="413"/>
      <c r="AN74" s="413"/>
      <c r="AO74" s="414"/>
      <c r="AP74" s="413"/>
      <c r="AQ74" s="413"/>
      <c r="AR74" s="413"/>
      <c r="AS74" s="413"/>
      <c r="AT74" s="413"/>
      <c r="AU74" s="413"/>
      <c r="AV74" s="413"/>
      <c r="AW74" s="413"/>
      <c r="AX74" s="413"/>
      <c r="AY74" s="414"/>
      <c r="AZ74" s="413"/>
      <c r="BA74" s="413"/>
      <c r="BB74" s="413"/>
      <c r="BC74" s="413"/>
      <c r="BD74" s="413"/>
      <c r="BE74" s="413"/>
      <c r="BF74" s="413"/>
      <c r="BG74" s="413"/>
      <c r="BH74" s="413"/>
      <c r="BI74" s="414"/>
      <c r="BJ74" s="413"/>
      <c r="BK74" s="413"/>
      <c r="BL74" s="413"/>
      <c r="BM74" s="413"/>
      <c r="BN74" s="413"/>
      <c r="BO74" s="413"/>
      <c r="BP74" s="413"/>
      <c r="BQ74" s="413"/>
      <c r="BR74" s="413"/>
      <c r="BS74" s="413"/>
      <c r="BT74" s="413"/>
      <c r="BU74" s="413"/>
      <c r="BV74" s="413"/>
      <c r="BW74" s="413"/>
      <c r="BX74" s="413"/>
      <c r="BY74" s="413"/>
      <c r="BZ74" s="413"/>
      <c r="CA74" s="413"/>
      <c r="CB74" s="413"/>
      <c r="CC74" s="413"/>
      <c r="CD74" s="413"/>
      <c r="CE74" s="413"/>
      <c r="CF74" s="413"/>
      <c r="CG74" s="413"/>
      <c r="CH74" s="413"/>
      <c r="CI74" s="413"/>
      <c r="CJ74" s="413"/>
      <c r="CK74" s="413"/>
      <c r="CL74" s="413"/>
      <c r="CM74" s="414"/>
      <c r="CN74" s="413"/>
      <c r="CO74" s="413"/>
      <c r="CP74" s="413"/>
      <c r="CQ74" s="413"/>
      <c r="CR74" s="413"/>
      <c r="CS74" s="413"/>
      <c r="CT74" s="413"/>
      <c r="CU74" s="413"/>
      <c r="CV74" s="413"/>
      <c r="CW74" s="414"/>
      <c r="CX74" s="413"/>
      <c r="CY74" s="413"/>
      <c r="CZ74" s="413"/>
      <c r="DA74" s="413"/>
      <c r="DB74" s="413"/>
      <c r="DC74" s="413"/>
      <c r="DD74" s="413"/>
      <c r="DE74" s="413"/>
      <c r="DF74" s="413"/>
      <c r="DG74" s="414"/>
      <c r="DH74" s="413"/>
      <c r="DI74" s="413"/>
      <c r="DJ74" s="413"/>
      <c r="DK74" s="413"/>
      <c r="DL74" s="413"/>
      <c r="DM74" s="413"/>
      <c r="DN74" s="413"/>
      <c r="DO74" s="413"/>
      <c r="DP74" s="413"/>
      <c r="DQ74" s="414"/>
      <c r="DR74" s="413"/>
      <c r="DS74" s="413"/>
      <c r="DT74" s="413"/>
      <c r="DU74" s="413"/>
      <c r="DV74" s="413"/>
      <c r="DW74" s="413"/>
      <c r="DX74" s="413"/>
      <c r="DY74" s="413"/>
      <c r="DZ74" s="413"/>
      <c r="EA74" s="413"/>
      <c r="EB74" s="413"/>
      <c r="EC74" s="413"/>
      <c r="ED74" s="413"/>
      <c r="EE74" s="413"/>
      <c r="EF74" s="413"/>
      <c r="EG74" s="413"/>
      <c r="EH74" s="413"/>
      <c r="EI74" s="413"/>
      <c r="EJ74" s="413"/>
      <c r="EK74" s="413"/>
      <c r="EL74" s="413"/>
      <c r="EM74" s="452"/>
      <c r="EN74" s="413"/>
      <c r="EO74" s="453"/>
      <c r="EP74" s="413"/>
      <c r="EQ74" s="434"/>
      <c r="ER74" s="434"/>
      <c r="ES74" s="434"/>
      <c r="ET74" s="434"/>
      <c r="EU74" s="434"/>
      <c r="EV74" s="434"/>
      <c r="EW74" s="434"/>
      <c r="EX74" s="434"/>
      <c r="EY74" s="434"/>
      <c r="EZ74" s="434"/>
      <c r="FA74" s="434"/>
      <c r="FB74" s="434"/>
      <c r="FC74" s="399"/>
      <c r="FD74" s="399"/>
      <c r="FE74" s="399"/>
      <c r="FF74" s="399"/>
      <c r="FG74" s="415"/>
      <c r="FH74" s="415"/>
      <c r="FI74" s="415"/>
      <c r="FJ74" s="415"/>
      <c r="FK74" s="415"/>
      <c r="FL74" s="415"/>
      <c r="FM74" s="415"/>
    </row>
    <row r="75" spans="1:169" hidden="1">
      <c r="A75" s="410" t="s">
        <v>1300</v>
      </c>
      <c r="B75" s="465" t="s">
        <v>1340</v>
      </c>
      <c r="C75" s="412"/>
      <c r="D75" s="412"/>
      <c r="E75" s="412"/>
      <c r="F75" s="412"/>
      <c r="G75" s="412"/>
      <c r="H75" s="412"/>
      <c r="I75" s="412"/>
      <c r="J75" s="412"/>
      <c r="K75" s="412"/>
      <c r="L75" s="412"/>
      <c r="M75" s="413"/>
      <c r="N75" s="413"/>
      <c r="O75" s="413"/>
      <c r="P75" s="413"/>
      <c r="Q75" s="413"/>
      <c r="R75" s="413"/>
      <c r="S75" s="413"/>
      <c r="T75" s="413"/>
      <c r="U75" s="413"/>
      <c r="V75" s="413"/>
      <c r="W75" s="413"/>
      <c r="X75" s="413"/>
      <c r="Y75" s="413"/>
      <c r="Z75" s="413"/>
      <c r="AA75" s="413"/>
      <c r="AB75" s="413"/>
      <c r="AC75" s="413"/>
      <c r="AD75" s="413"/>
      <c r="AE75" s="413"/>
      <c r="AF75" s="413"/>
      <c r="AG75" s="413"/>
      <c r="AH75" s="413"/>
      <c r="AI75" s="413"/>
      <c r="AJ75" s="413"/>
      <c r="AK75" s="413"/>
      <c r="AL75" s="413"/>
      <c r="AM75" s="413"/>
      <c r="AN75" s="413"/>
      <c r="AO75" s="414"/>
      <c r="AP75" s="413"/>
      <c r="AQ75" s="413"/>
      <c r="AR75" s="413"/>
      <c r="AS75" s="413"/>
      <c r="AT75" s="413"/>
      <c r="AU75" s="413"/>
      <c r="AV75" s="413"/>
      <c r="AW75" s="413"/>
      <c r="AX75" s="413"/>
      <c r="AY75" s="414"/>
      <c r="AZ75" s="413"/>
      <c r="BA75" s="413"/>
      <c r="BB75" s="413"/>
      <c r="BC75" s="413"/>
      <c r="BD75" s="413"/>
      <c r="BE75" s="413"/>
      <c r="BF75" s="413"/>
      <c r="BG75" s="413"/>
      <c r="BH75" s="413"/>
      <c r="BI75" s="414"/>
      <c r="BJ75" s="413"/>
      <c r="BK75" s="413"/>
      <c r="BL75" s="413"/>
      <c r="BM75" s="413"/>
      <c r="BN75" s="413"/>
      <c r="BO75" s="413"/>
      <c r="BP75" s="413"/>
      <c r="BQ75" s="413"/>
      <c r="BR75" s="413"/>
      <c r="BS75" s="413"/>
      <c r="BT75" s="413"/>
      <c r="BU75" s="413"/>
      <c r="BV75" s="413"/>
      <c r="BW75" s="413"/>
      <c r="BX75" s="413"/>
      <c r="BY75" s="413"/>
      <c r="BZ75" s="413"/>
      <c r="CA75" s="413"/>
      <c r="CB75" s="413"/>
      <c r="CC75" s="413"/>
      <c r="CD75" s="413"/>
      <c r="CE75" s="413"/>
      <c r="CF75" s="413"/>
      <c r="CG75" s="413"/>
      <c r="CH75" s="413"/>
      <c r="CI75" s="413"/>
      <c r="CJ75" s="413"/>
      <c r="CK75" s="413"/>
      <c r="CL75" s="413"/>
      <c r="CM75" s="414"/>
      <c r="CN75" s="413"/>
      <c r="CO75" s="413"/>
      <c r="CP75" s="413"/>
      <c r="CQ75" s="413"/>
      <c r="CR75" s="413"/>
      <c r="CS75" s="413"/>
      <c r="CT75" s="413"/>
      <c r="CU75" s="413"/>
      <c r="CV75" s="413"/>
      <c r="CW75" s="414"/>
      <c r="CX75" s="413"/>
      <c r="CY75" s="413"/>
      <c r="CZ75" s="413"/>
      <c r="DA75" s="413"/>
      <c r="DB75" s="413"/>
      <c r="DC75" s="413"/>
      <c r="DD75" s="413"/>
      <c r="DE75" s="413"/>
      <c r="DF75" s="413"/>
      <c r="DG75" s="414"/>
      <c r="DH75" s="413"/>
      <c r="DI75" s="413"/>
      <c r="DJ75" s="413"/>
      <c r="DK75" s="413"/>
      <c r="DL75" s="413"/>
      <c r="DM75" s="413"/>
      <c r="DN75" s="413"/>
      <c r="DO75" s="413"/>
      <c r="DP75" s="413"/>
      <c r="DQ75" s="414"/>
      <c r="DR75" s="413"/>
      <c r="DS75" s="413"/>
      <c r="DT75" s="413"/>
      <c r="DU75" s="413"/>
      <c r="DV75" s="413"/>
      <c r="DW75" s="413"/>
      <c r="DX75" s="413"/>
      <c r="DY75" s="413"/>
      <c r="DZ75" s="413"/>
      <c r="EA75" s="413"/>
      <c r="EB75" s="413"/>
      <c r="EC75" s="413"/>
      <c r="ED75" s="413"/>
      <c r="EE75" s="413"/>
      <c r="EF75" s="413"/>
      <c r="EG75" s="413"/>
      <c r="EH75" s="413"/>
      <c r="EI75" s="413"/>
      <c r="EJ75" s="413"/>
      <c r="EK75" s="413"/>
      <c r="EL75" s="413"/>
      <c r="EM75" s="452"/>
      <c r="EN75" s="413"/>
      <c r="EO75" s="453"/>
      <c r="EP75" s="413"/>
      <c r="EQ75" s="434"/>
      <c r="ER75" s="434"/>
      <c r="ES75" s="434"/>
      <c r="ET75" s="434"/>
      <c r="EU75" s="434"/>
      <c r="EV75" s="434"/>
      <c r="EW75" s="434"/>
      <c r="EX75" s="434"/>
      <c r="EY75" s="434"/>
      <c r="EZ75" s="434"/>
      <c r="FA75" s="434"/>
      <c r="FB75" s="434"/>
      <c r="FC75" s="399"/>
      <c r="FD75" s="399"/>
      <c r="FE75" s="399"/>
      <c r="FF75" s="399"/>
      <c r="FG75" s="415"/>
      <c r="FH75" s="415"/>
      <c r="FI75" s="415"/>
      <c r="FJ75" s="415"/>
      <c r="FK75" s="415"/>
      <c r="FL75" s="415"/>
      <c r="FM75" s="415"/>
    </row>
    <row r="76" spans="1:169" hidden="1">
      <c r="A76" s="410" t="s">
        <v>1319</v>
      </c>
      <c r="B76" s="465" t="s">
        <v>1341</v>
      </c>
      <c r="C76" s="412"/>
      <c r="D76" s="412"/>
      <c r="E76" s="412"/>
      <c r="F76" s="412"/>
      <c r="G76" s="412"/>
      <c r="H76" s="412"/>
      <c r="I76" s="412"/>
      <c r="J76" s="412"/>
      <c r="K76" s="412"/>
      <c r="L76" s="412"/>
      <c r="M76" s="413"/>
      <c r="N76" s="413"/>
      <c r="O76" s="413"/>
      <c r="P76" s="413"/>
      <c r="Q76" s="413"/>
      <c r="R76" s="413"/>
      <c r="S76" s="413"/>
      <c r="T76" s="413"/>
      <c r="U76" s="413"/>
      <c r="V76" s="413"/>
      <c r="W76" s="413"/>
      <c r="X76" s="413"/>
      <c r="Y76" s="413"/>
      <c r="Z76" s="413"/>
      <c r="AA76" s="413"/>
      <c r="AB76" s="413"/>
      <c r="AC76" s="413"/>
      <c r="AD76" s="413"/>
      <c r="AE76" s="413"/>
      <c r="AF76" s="413"/>
      <c r="AG76" s="413"/>
      <c r="AH76" s="413"/>
      <c r="AI76" s="413"/>
      <c r="AJ76" s="413"/>
      <c r="AK76" s="413"/>
      <c r="AL76" s="413"/>
      <c r="AM76" s="413"/>
      <c r="AN76" s="413"/>
      <c r="AO76" s="414"/>
      <c r="AP76" s="413"/>
      <c r="AQ76" s="413"/>
      <c r="AR76" s="413"/>
      <c r="AS76" s="413"/>
      <c r="AT76" s="413"/>
      <c r="AU76" s="413"/>
      <c r="AV76" s="413"/>
      <c r="AW76" s="413"/>
      <c r="AX76" s="413"/>
      <c r="AY76" s="414"/>
      <c r="AZ76" s="413"/>
      <c r="BA76" s="413"/>
      <c r="BB76" s="413"/>
      <c r="BC76" s="413"/>
      <c r="BD76" s="413"/>
      <c r="BE76" s="413"/>
      <c r="BF76" s="413"/>
      <c r="BG76" s="413"/>
      <c r="BH76" s="413"/>
      <c r="BI76" s="414"/>
      <c r="BJ76" s="413"/>
      <c r="BK76" s="413"/>
      <c r="BL76" s="413"/>
      <c r="BM76" s="413"/>
      <c r="BN76" s="413"/>
      <c r="BO76" s="413"/>
      <c r="BP76" s="413"/>
      <c r="BQ76" s="413"/>
      <c r="BR76" s="413"/>
      <c r="BS76" s="413"/>
      <c r="BT76" s="413"/>
      <c r="BU76" s="413"/>
      <c r="BV76" s="413"/>
      <c r="BW76" s="413"/>
      <c r="BX76" s="413"/>
      <c r="BY76" s="413"/>
      <c r="BZ76" s="413"/>
      <c r="CA76" s="413"/>
      <c r="CB76" s="413"/>
      <c r="CC76" s="413"/>
      <c r="CD76" s="413"/>
      <c r="CE76" s="413"/>
      <c r="CF76" s="413"/>
      <c r="CG76" s="413"/>
      <c r="CH76" s="413"/>
      <c r="CI76" s="413"/>
      <c r="CJ76" s="413"/>
      <c r="CK76" s="413"/>
      <c r="CL76" s="413"/>
      <c r="CM76" s="414"/>
      <c r="CN76" s="413"/>
      <c r="CO76" s="413"/>
      <c r="CP76" s="413"/>
      <c r="CQ76" s="413"/>
      <c r="CR76" s="413"/>
      <c r="CS76" s="413"/>
      <c r="CT76" s="413"/>
      <c r="CU76" s="413"/>
      <c r="CV76" s="413"/>
      <c r="CW76" s="414"/>
      <c r="CX76" s="413"/>
      <c r="CY76" s="413"/>
      <c r="CZ76" s="413"/>
      <c r="DA76" s="413"/>
      <c r="DB76" s="413"/>
      <c r="DC76" s="413"/>
      <c r="DD76" s="413"/>
      <c r="DE76" s="413"/>
      <c r="DF76" s="413"/>
      <c r="DG76" s="414"/>
      <c r="DH76" s="413"/>
      <c r="DI76" s="413"/>
      <c r="DJ76" s="413"/>
      <c r="DK76" s="413"/>
      <c r="DL76" s="413"/>
      <c r="DM76" s="413"/>
      <c r="DN76" s="413"/>
      <c r="DO76" s="413"/>
      <c r="DP76" s="413"/>
      <c r="DQ76" s="414"/>
      <c r="DR76" s="413"/>
      <c r="DS76" s="413"/>
      <c r="DT76" s="413"/>
      <c r="DU76" s="413"/>
      <c r="DV76" s="413"/>
      <c r="DW76" s="413"/>
      <c r="DX76" s="413"/>
      <c r="DY76" s="413"/>
      <c r="DZ76" s="413"/>
      <c r="EA76" s="413"/>
      <c r="EB76" s="413"/>
      <c r="EC76" s="413"/>
      <c r="ED76" s="413"/>
      <c r="EE76" s="413"/>
      <c r="EF76" s="413"/>
      <c r="EG76" s="413"/>
      <c r="EH76" s="413"/>
      <c r="EI76" s="413"/>
      <c r="EJ76" s="413"/>
      <c r="EK76" s="413"/>
      <c r="EL76" s="413"/>
      <c r="EM76" s="452"/>
      <c r="EN76" s="413"/>
      <c r="EO76" s="453"/>
      <c r="EP76" s="413"/>
      <c r="EQ76" s="434"/>
      <c r="ER76" s="434"/>
      <c r="ES76" s="434"/>
      <c r="ET76" s="434"/>
      <c r="EU76" s="434"/>
      <c r="EV76" s="434"/>
      <c r="EW76" s="434"/>
      <c r="EX76" s="434"/>
      <c r="EY76" s="434"/>
      <c r="EZ76" s="434"/>
      <c r="FA76" s="434"/>
      <c r="FB76" s="434"/>
      <c r="FC76" s="399"/>
      <c r="FD76" s="399"/>
      <c r="FE76" s="399"/>
      <c r="FF76" s="399"/>
      <c r="FG76" s="415"/>
      <c r="FH76" s="415"/>
      <c r="FI76" s="415"/>
      <c r="FJ76" s="415"/>
      <c r="FK76" s="415"/>
      <c r="FL76" s="415"/>
      <c r="FM76" s="415"/>
    </row>
    <row r="77" spans="1:169" hidden="1">
      <c r="A77" s="410" t="s">
        <v>1321</v>
      </c>
      <c r="B77" s="465" t="s">
        <v>1342</v>
      </c>
      <c r="C77" s="412"/>
      <c r="D77" s="412"/>
      <c r="E77" s="412"/>
      <c r="F77" s="412"/>
      <c r="G77" s="412"/>
      <c r="H77" s="412"/>
      <c r="I77" s="412"/>
      <c r="J77" s="412"/>
      <c r="K77" s="412"/>
      <c r="L77" s="412"/>
      <c r="M77" s="413"/>
      <c r="N77" s="413"/>
      <c r="O77" s="413"/>
      <c r="P77" s="413"/>
      <c r="Q77" s="413"/>
      <c r="R77" s="413"/>
      <c r="S77" s="413"/>
      <c r="T77" s="413"/>
      <c r="U77" s="413"/>
      <c r="V77" s="413"/>
      <c r="W77" s="413"/>
      <c r="X77" s="413"/>
      <c r="Y77" s="413"/>
      <c r="Z77" s="413"/>
      <c r="AA77" s="413"/>
      <c r="AB77" s="413"/>
      <c r="AC77" s="413"/>
      <c r="AD77" s="413"/>
      <c r="AE77" s="413"/>
      <c r="AF77" s="413"/>
      <c r="AG77" s="413"/>
      <c r="AH77" s="413"/>
      <c r="AI77" s="413"/>
      <c r="AJ77" s="413"/>
      <c r="AK77" s="413"/>
      <c r="AL77" s="413"/>
      <c r="AM77" s="413"/>
      <c r="AN77" s="413"/>
      <c r="AO77" s="414"/>
      <c r="AP77" s="413"/>
      <c r="AQ77" s="413"/>
      <c r="AR77" s="413"/>
      <c r="AS77" s="413"/>
      <c r="AT77" s="413"/>
      <c r="AU77" s="413"/>
      <c r="AV77" s="413"/>
      <c r="AW77" s="413"/>
      <c r="AX77" s="413"/>
      <c r="AY77" s="414"/>
      <c r="AZ77" s="413"/>
      <c r="BA77" s="413"/>
      <c r="BB77" s="413"/>
      <c r="BC77" s="413"/>
      <c r="BD77" s="413"/>
      <c r="BE77" s="413"/>
      <c r="BF77" s="413"/>
      <c r="BG77" s="413"/>
      <c r="BH77" s="413"/>
      <c r="BI77" s="414"/>
      <c r="BJ77" s="413"/>
      <c r="BK77" s="413"/>
      <c r="BL77" s="413"/>
      <c r="BM77" s="413"/>
      <c r="BN77" s="413"/>
      <c r="BO77" s="413"/>
      <c r="BP77" s="413"/>
      <c r="BQ77" s="413"/>
      <c r="BR77" s="413"/>
      <c r="BS77" s="413"/>
      <c r="BT77" s="413"/>
      <c r="BU77" s="413"/>
      <c r="BV77" s="413"/>
      <c r="BW77" s="413"/>
      <c r="BX77" s="413"/>
      <c r="BY77" s="413"/>
      <c r="BZ77" s="413"/>
      <c r="CA77" s="413"/>
      <c r="CB77" s="413"/>
      <c r="CC77" s="413"/>
      <c r="CD77" s="413"/>
      <c r="CE77" s="413"/>
      <c r="CF77" s="413"/>
      <c r="CG77" s="413"/>
      <c r="CH77" s="413"/>
      <c r="CI77" s="413"/>
      <c r="CJ77" s="413"/>
      <c r="CK77" s="413"/>
      <c r="CL77" s="413"/>
      <c r="CM77" s="414"/>
      <c r="CN77" s="413"/>
      <c r="CO77" s="413"/>
      <c r="CP77" s="413"/>
      <c r="CQ77" s="413"/>
      <c r="CR77" s="413"/>
      <c r="CS77" s="413"/>
      <c r="CT77" s="413"/>
      <c r="CU77" s="413"/>
      <c r="CV77" s="413"/>
      <c r="CW77" s="414"/>
      <c r="CX77" s="413"/>
      <c r="CY77" s="413"/>
      <c r="CZ77" s="413"/>
      <c r="DA77" s="413"/>
      <c r="DB77" s="413"/>
      <c r="DC77" s="413"/>
      <c r="DD77" s="413"/>
      <c r="DE77" s="413"/>
      <c r="DF77" s="413"/>
      <c r="DG77" s="414"/>
      <c r="DH77" s="413"/>
      <c r="DI77" s="413"/>
      <c r="DJ77" s="413"/>
      <c r="DK77" s="413"/>
      <c r="DL77" s="413"/>
      <c r="DM77" s="413"/>
      <c r="DN77" s="413"/>
      <c r="DO77" s="413"/>
      <c r="DP77" s="413"/>
      <c r="DQ77" s="414"/>
      <c r="DR77" s="413"/>
      <c r="DS77" s="413"/>
      <c r="DT77" s="413"/>
      <c r="DU77" s="413"/>
      <c r="DV77" s="413"/>
      <c r="DW77" s="413"/>
      <c r="DX77" s="413"/>
      <c r="DY77" s="413"/>
      <c r="DZ77" s="413"/>
      <c r="EA77" s="413"/>
      <c r="EB77" s="413"/>
      <c r="EC77" s="413"/>
      <c r="ED77" s="413"/>
      <c r="EE77" s="413"/>
      <c r="EF77" s="413"/>
      <c r="EG77" s="413"/>
      <c r="EH77" s="413"/>
      <c r="EI77" s="413"/>
      <c r="EJ77" s="413"/>
      <c r="EK77" s="413"/>
      <c r="EL77" s="413"/>
      <c r="EM77" s="452"/>
      <c r="EN77" s="413"/>
      <c r="EO77" s="453"/>
      <c r="EP77" s="413"/>
      <c r="EQ77" s="434"/>
      <c r="ER77" s="434"/>
      <c r="ES77" s="434"/>
      <c r="ET77" s="434"/>
      <c r="EU77" s="434"/>
      <c r="EV77" s="434"/>
      <c r="EW77" s="434"/>
      <c r="EX77" s="434"/>
      <c r="EY77" s="434"/>
      <c r="EZ77" s="434"/>
      <c r="FA77" s="434"/>
      <c r="FB77" s="434"/>
      <c r="FC77" s="399"/>
      <c r="FD77" s="399"/>
      <c r="FE77" s="399"/>
      <c r="FF77" s="399"/>
      <c r="FG77" s="415"/>
      <c r="FH77" s="415"/>
      <c r="FI77" s="415"/>
      <c r="FJ77" s="415"/>
      <c r="FK77" s="415"/>
      <c r="FL77" s="415"/>
      <c r="FM77" s="415"/>
    </row>
    <row r="78" spans="1:169" hidden="1">
      <c r="A78" s="410" t="s">
        <v>1320</v>
      </c>
      <c r="B78" s="465" t="s">
        <v>1343</v>
      </c>
      <c r="C78" s="412"/>
      <c r="D78" s="412"/>
      <c r="E78" s="412"/>
      <c r="F78" s="412"/>
      <c r="G78" s="412"/>
      <c r="H78" s="412"/>
      <c r="I78" s="412"/>
      <c r="J78" s="412"/>
      <c r="K78" s="412"/>
      <c r="L78" s="412"/>
      <c r="M78" s="413"/>
      <c r="N78" s="413"/>
      <c r="O78" s="413"/>
      <c r="P78" s="413"/>
      <c r="Q78" s="413"/>
      <c r="R78" s="413"/>
      <c r="S78" s="413"/>
      <c r="T78" s="413"/>
      <c r="U78" s="413"/>
      <c r="V78" s="413"/>
      <c r="W78" s="413"/>
      <c r="X78" s="413"/>
      <c r="Y78" s="413"/>
      <c r="Z78" s="413"/>
      <c r="AA78" s="413"/>
      <c r="AB78" s="413"/>
      <c r="AC78" s="413"/>
      <c r="AD78" s="413"/>
      <c r="AE78" s="413"/>
      <c r="AF78" s="413"/>
      <c r="AG78" s="413"/>
      <c r="AH78" s="413"/>
      <c r="AI78" s="413"/>
      <c r="AJ78" s="413"/>
      <c r="AK78" s="413"/>
      <c r="AL78" s="413"/>
      <c r="AM78" s="413"/>
      <c r="AN78" s="413"/>
      <c r="AO78" s="414"/>
      <c r="AP78" s="413"/>
      <c r="AQ78" s="413"/>
      <c r="AR78" s="413"/>
      <c r="AS78" s="413"/>
      <c r="AT78" s="413"/>
      <c r="AU78" s="413"/>
      <c r="AV78" s="413"/>
      <c r="AW78" s="413"/>
      <c r="AX78" s="413"/>
      <c r="AY78" s="414"/>
      <c r="AZ78" s="413"/>
      <c r="BA78" s="413"/>
      <c r="BB78" s="413"/>
      <c r="BC78" s="413"/>
      <c r="BD78" s="413"/>
      <c r="BE78" s="413"/>
      <c r="BF78" s="413"/>
      <c r="BG78" s="413"/>
      <c r="BH78" s="413"/>
      <c r="BI78" s="414"/>
      <c r="BJ78" s="413"/>
      <c r="BK78" s="413"/>
      <c r="BL78" s="413"/>
      <c r="BM78" s="413"/>
      <c r="BN78" s="413"/>
      <c r="BO78" s="413"/>
      <c r="BP78" s="413"/>
      <c r="BQ78" s="413"/>
      <c r="BR78" s="413"/>
      <c r="BS78" s="413"/>
      <c r="BT78" s="413"/>
      <c r="BU78" s="413"/>
      <c r="BV78" s="413"/>
      <c r="BW78" s="413"/>
      <c r="BX78" s="413"/>
      <c r="BY78" s="413"/>
      <c r="BZ78" s="413"/>
      <c r="CA78" s="413"/>
      <c r="CB78" s="413"/>
      <c r="CC78" s="413"/>
      <c r="CD78" s="413"/>
      <c r="CE78" s="413"/>
      <c r="CF78" s="413"/>
      <c r="CG78" s="413"/>
      <c r="CH78" s="413"/>
      <c r="CI78" s="413"/>
      <c r="CJ78" s="413"/>
      <c r="CK78" s="413"/>
      <c r="CL78" s="413"/>
      <c r="CM78" s="414"/>
      <c r="CN78" s="413"/>
      <c r="CO78" s="413"/>
      <c r="CP78" s="413"/>
      <c r="CQ78" s="413"/>
      <c r="CR78" s="413"/>
      <c r="CS78" s="413"/>
      <c r="CT78" s="413"/>
      <c r="CU78" s="413"/>
      <c r="CV78" s="413"/>
      <c r="CW78" s="414"/>
      <c r="CX78" s="413"/>
      <c r="CY78" s="413"/>
      <c r="CZ78" s="413"/>
      <c r="DA78" s="413"/>
      <c r="DB78" s="413"/>
      <c r="DC78" s="413"/>
      <c r="DD78" s="413"/>
      <c r="DE78" s="413"/>
      <c r="DF78" s="413"/>
      <c r="DG78" s="414"/>
      <c r="DH78" s="413"/>
      <c r="DI78" s="413"/>
      <c r="DJ78" s="413"/>
      <c r="DK78" s="413"/>
      <c r="DL78" s="413"/>
      <c r="DM78" s="413"/>
      <c r="DN78" s="413"/>
      <c r="DO78" s="413"/>
      <c r="DP78" s="413"/>
      <c r="DQ78" s="414"/>
      <c r="DR78" s="413"/>
      <c r="DS78" s="413"/>
      <c r="DT78" s="413"/>
      <c r="DU78" s="413"/>
      <c r="DV78" s="413"/>
      <c r="DW78" s="413"/>
      <c r="DX78" s="413"/>
      <c r="DY78" s="413"/>
      <c r="DZ78" s="413"/>
      <c r="EA78" s="413"/>
      <c r="EB78" s="413"/>
      <c r="EC78" s="413"/>
      <c r="ED78" s="413"/>
      <c r="EE78" s="413"/>
      <c r="EF78" s="413"/>
      <c r="EG78" s="413"/>
      <c r="EH78" s="413"/>
      <c r="EI78" s="413"/>
      <c r="EJ78" s="413"/>
      <c r="EK78" s="413"/>
      <c r="EL78" s="413"/>
      <c r="EM78" s="452"/>
      <c r="EN78" s="413"/>
      <c r="EO78" s="453"/>
      <c r="EP78" s="413"/>
      <c r="EQ78" s="434"/>
      <c r="ER78" s="434"/>
      <c r="ES78" s="434"/>
      <c r="ET78" s="434"/>
      <c r="EU78" s="434"/>
      <c r="EV78" s="434"/>
      <c r="EW78" s="434"/>
      <c r="EX78" s="434"/>
      <c r="EY78" s="434"/>
      <c r="EZ78" s="434"/>
      <c r="FA78" s="434"/>
      <c r="FB78" s="434"/>
      <c r="FC78" s="399"/>
      <c r="FD78" s="399"/>
      <c r="FE78" s="399"/>
      <c r="FF78" s="399"/>
      <c r="FG78" s="415"/>
      <c r="FH78" s="415"/>
      <c r="FI78" s="415"/>
      <c r="FJ78" s="415"/>
      <c r="FK78" s="415"/>
      <c r="FL78" s="415"/>
      <c r="FM78" s="415"/>
    </row>
    <row r="79" spans="1:169" hidden="1">
      <c r="A79" s="410" t="s">
        <v>1348</v>
      </c>
      <c r="B79" s="465" t="s">
        <v>1344</v>
      </c>
      <c r="C79" s="412"/>
      <c r="D79" s="412"/>
      <c r="E79" s="412"/>
      <c r="F79" s="412"/>
      <c r="G79" s="412"/>
      <c r="H79" s="412"/>
      <c r="I79" s="412"/>
      <c r="J79" s="412"/>
      <c r="K79" s="412"/>
      <c r="L79" s="412"/>
      <c r="M79" s="413"/>
      <c r="N79" s="413"/>
      <c r="O79" s="413"/>
      <c r="P79" s="413"/>
      <c r="Q79" s="413"/>
      <c r="R79" s="413"/>
      <c r="S79" s="413"/>
      <c r="T79" s="413"/>
      <c r="U79" s="413"/>
      <c r="V79" s="413"/>
      <c r="W79" s="413"/>
      <c r="X79" s="413"/>
      <c r="Y79" s="413"/>
      <c r="Z79" s="413"/>
      <c r="AA79" s="413"/>
      <c r="AB79" s="413"/>
      <c r="AC79" s="413"/>
      <c r="AD79" s="413"/>
      <c r="AE79" s="413"/>
      <c r="AF79" s="413"/>
      <c r="AG79" s="413"/>
      <c r="AH79" s="413"/>
      <c r="AI79" s="413"/>
      <c r="AJ79" s="413"/>
      <c r="AK79" s="413"/>
      <c r="AL79" s="413"/>
      <c r="AM79" s="413"/>
      <c r="AN79" s="413"/>
      <c r="AO79" s="414"/>
      <c r="AP79" s="413"/>
      <c r="AQ79" s="413"/>
      <c r="AR79" s="413"/>
      <c r="AS79" s="413"/>
      <c r="AT79" s="413"/>
      <c r="AU79" s="413"/>
      <c r="AV79" s="413"/>
      <c r="AW79" s="413"/>
      <c r="AX79" s="413"/>
      <c r="AY79" s="414"/>
      <c r="AZ79" s="413"/>
      <c r="BA79" s="413"/>
      <c r="BB79" s="413"/>
      <c r="BC79" s="413"/>
      <c r="BD79" s="413"/>
      <c r="BE79" s="413"/>
      <c r="BF79" s="413"/>
      <c r="BG79" s="413"/>
      <c r="BH79" s="413"/>
      <c r="BI79" s="414"/>
      <c r="BJ79" s="413"/>
      <c r="BK79" s="413"/>
      <c r="BL79" s="413"/>
      <c r="BM79" s="413"/>
      <c r="BN79" s="413"/>
      <c r="BO79" s="413"/>
      <c r="BP79" s="413"/>
      <c r="BQ79" s="413"/>
      <c r="BR79" s="413"/>
      <c r="BS79" s="413"/>
      <c r="BT79" s="413"/>
      <c r="BU79" s="413"/>
      <c r="BV79" s="413"/>
      <c r="BW79" s="413"/>
      <c r="BX79" s="413"/>
      <c r="BY79" s="413"/>
      <c r="BZ79" s="413"/>
      <c r="CA79" s="413"/>
      <c r="CB79" s="413"/>
      <c r="CC79" s="413"/>
      <c r="CD79" s="413"/>
      <c r="CE79" s="413"/>
      <c r="CF79" s="413"/>
      <c r="CG79" s="413"/>
      <c r="CH79" s="413"/>
      <c r="CI79" s="413"/>
      <c r="CJ79" s="413"/>
      <c r="CK79" s="413"/>
      <c r="CL79" s="413"/>
      <c r="CM79" s="414"/>
      <c r="CN79" s="413"/>
      <c r="CO79" s="413"/>
      <c r="CP79" s="413"/>
      <c r="CQ79" s="413"/>
      <c r="CR79" s="413"/>
      <c r="CS79" s="413"/>
      <c r="CT79" s="413"/>
      <c r="CU79" s="413"/>
      <c r="CV79" s="413"/>
      <c r="CW79" s="414"/>
      <c r="CX79" s="413"/>
      <c r="CY79" s="413"/>
      <c r="CZ79" s="413"/>
      <c r="DA79" s="413"/>
      <c r="DB79" s="413"/>
      <c r="DC79" s="413"/>
      <c r="DD79" s="413"/>
      <c r="DE79" s="413"/>
      <c r="DF79" s="413"/>
      <c r="DG79" s="414"/>
      <c r="DH79" s="413"/>
      <c r="DI79" s="413"/>
      <c r="DJ79" s="413"/>
      <c r="DK79" s="413"/>
      <c r="DL79" s="413"/>
      <c r="DM79" s="413"/>
      <c r="DN79" s="413"/>
      <c r="DO79" s="413"/>
      <c r="DP79" s="413"/>
      <c r="DQ79" s="414"/>
      <c r="DR79" s="413"/>
      <c r="DS79" s="413"/>
      <c r="DT79" s="413"/>
      <c r="DU79" s="413"/>
      <c r="DV79" s="413"/>
      <c r="DW79" s="413"/>
      <c r="DX79" s="413"/>
      <c r="DY79" s="413"/>
      <c r="DZ79" s="413"/>
      <c r="EA79" s="413"/>
      <c r="EB79" s="413"/>
      <c r="EC79" s="413"/>
      <c r="ED79" s="413"/>
      <c r="EE79" s="413"/>
      <c r="EF79" s="413"/>
      <c r="EG79" s="413"/>
      <c r="EH79" s="413"/>
      <c r="EI79" s="413"/>
      <c r="EJ79" s="413"/>
      <c r="EK79" s="413"/>
      <c r="EL79" s="413"/>
      <c r="EM79" s="452"/>
      <c r="EN79" s="413"/>
      <c r="EO79" s="453"/>
      <c r="EP79" s="413"/>
      <c r="EQ79" s="434"/>
      <c r="ER79" s="434"/>
      <c r="ES79" s="434"/>
      <c r="ET79" s="434"/>
      <c r="EU79" s="434"/>
      <c r="EV79" s="434"/>
      <c r="EW79" s="434"/>
      <c r="EX79" s="434"/>
      <c r="EY79" s="434"/>
      <c r="EZ79" s="434"/>
      <c r="FA79" s="434"/>
      <c r="FB79" s="434"/>
      <c r="FC79" s="399"/>
      <c r="FD79" s="399"/>
      <c r="FE79" s="399"/>
      <c r="FF79" s="399"/>
      <c r="FG79" s="415"/>
      <c r="FH79" s="415"/>
      <c r="FI79" s="415"/>
      <c r="FJ79" s="415"/>
      <c r="FK79" s="415"/>
      <c r="FL79" s="415"/>
      <c r="FM79" s="415"/>
    </row>
    <row r="80" spans="1:169" hidden="1">
      <c r="A80" s="410" t="s">
        <v>1349</v>
      </c>
      <c r="B80" s="465" t="s">
        <v>1345</v>
      </c>
      <c r="C80" s="412"/>
      <c r="D80" s="412"/>
      <c r="E80" s="412"/>
      <c r="F80" s="412"/>
      <c r="G80" s="412"/>
      <c r="H80" s="412"/>
      <c r="I80" s="412"/>
      <c r="J80" s="412"/>
      <c r="K80" s="412"/>
      <c r="L80" s="412"/>
      <c r="M80" s="413"/>
      <c r="N80" s="413"/>
      <c r="O80" s="413"/>
      <c r="P80" s="413"/>
      <c r="Q80" s="413"/>
      <c r="R80" s="413"/>
      <c r="S80" s="413"/>
      <c r="T80" s="413"/>
      <c r="U80" s="413"/>
      <c r="V80" s="413"/>
      <c r="W80" s="413"/>
      <c r="X80" s="413"/>
      <c r="Y80" s="413"/>
      <c r="Z80" s="413"/>
      <c r="AA80" s="413"/>
      <c r="AB80" s="413"/>
      <c r="AC80" s="413"/>
      <c r="AD80" s="413"/>
      <c r="AE80" s="413"/>
      <c r="AF80" s="413"/>
      <c r="AG80" s="413"/>
      <c r="AH80" s="413"/>
      <c r="AI80" s="413"/>
      <c r="AJ80" s="413"/>
      <c r="AK80" s="413"/>
      <c r="AL80" s="413"/>
      <c r="AM80" s="413"/>
      <c r="AN80" s="413"/>
      <c r="AO80" s="414"/>
      <c r="AP80" s="413"/>
      <c r="AQ80" s="413"/>
      <c r="AR80" s="413"/>
      <c r="AS80" s="413"/>
      <c r="AT80" s="413"/>
      <c r="AU80" s="413"/>
      <c r="AV80" s="413"/>
      <c r="AW80" s="413"/>
      <c r="AX80" s="413"/>
      <c r="AY80" s="414"/>
      <c r="AZ80" s="413"/>
      <c r="BA80" s="413"/>
      <c r="BB80" s="413"/>
      <c r="BC80" s="413"/>
      <c r="BD80" s="413"/>
      <c r="BE80" s="413"/>
      <c r="BF80" s="413"/>
      <c r="BG80" s="413"/>
      <c r="BH80" s="413"/>
      <c r="BI80" s="414"/>
      <c r="BJ80" s="413"/>
      <c r="BK80" s="413"/>
      <c r="BL80" s="413"/>
      <c r="BM80" s="413"/>
      <c r="BN80" s="413"/>
      <c r="BO80" s="413"/>
      <c r="BP80" s="413"/>
      <c r="BQ80" s="413"/>
      <c r="BR80" s="413"/>
      <c r="BS80" s="413"/>
      <c r="BT80" s="413"/>
      <c r="BU80" s="413"/>
      <c r="BV80" s="413"/>
      <c r="BW80" s="413"/>
      <c r="BX80" s="413"/>
      <c r="BY80" s="413"/>
      <c r="BZ80" s="413"/>
      <c r="CA80" s="413"/>
      <c r="CB80" s="413"/>
      <c r="CC80" s="413"/>
      <c r="CD80" s="413"/>
      <c r="CE80" s="413"/>
      <c r="CF80" s="413"/>
      <c r="CG80" s="413"/>
      <c r="CH80" s="413"/>
      <c r="CI80" s="413"/>
      <c r="CJ80" s="413"/>
      <c r="CK80" s="413"/>
      <c r="CL80" s="413"/>
      <c r="CM80" s="414"/>
      <c r="CN80" s="413"/>
      <c r="CO80" s="413"/>
      <c r="CP80" s="413"/>
      <c r="CQ80" s="413"/>
      <c r="CR80" s="413"/>
      <c r="CS80" s="413"/>
      <c r="CT80" s="413"/>
      <c r="CU80" s="413"/>
      <c r="CV80" s="413"/>
      <c r="CW80" s="414"/>
      <c r="CX80" s="413"/>
      <c r="CY80" s="413"/>
      <c r="CZ80" s="413"/>
      <c r="DA80" s="413"/>
      <c r="DB80" s="413"/>
      <c r="DC80" s="413"/>
      <c r="DD80" s="413"/>
      <c r="DE80" s="413"/>
      <c r="DF80" s="413"/>
      <c r="DG80" s="414"/>
      <c r="DH80" s="413"/>
      <c r="DI80" s="413"/>
      <c r="DJ80" s="413"/>
      <c r="DK80" s="413"/>
      <c r="DL80" s="413"/>
      <c r="DM80" s="413"/>
      <c r="DN80" s="413"/>
      <c r="DO80" s="413"/>
      <c r="DP80" s="413"/>
      <c r="DQ80" s="414"/>
      <c r="DR80" s="413"/>
      <c r="DS80" s="413"/>
      <c r="DT80" s="413"/>
      <c r="DU80" s="413"/>
      <c r="DV80" s="413"/>
      <c r="DW80" s="413"/>
      <c r="DX80" s="413"/>
      <c r="DY80" s="413"/>
      <c r="DZ80" s="413"/>
      <c r="EA80" s="413"/>
      <c r="EB80" s="413"/>
      <c r="EC80" s="413"/>
      <c r="ED80" s="413"/>
      <c r="EE80" s="413"/>
      <c r="EF80" s="413"/>
      <c r="EG80" s="413"/>
      <c r="EH80" s="413"/>
      <c r="EI80" s="413"/>
      <c r="EJ80" s="413"/>
      <c r="EK80" s="413"/>
      <c r="EL80" s="413"/>
      <c r="EM80" s="452"/>
      <c r="EN80" s="413"/>
      <c r="EO80" s="453"/>
      <c r="EP80" s="413"/>
      <c r="EQ80" s="434"/>
      <c r="ER80" s="434"/>
      <c r="ES80" s="434"/>
      <c r="ET80" s="434"/>
      <c r="EU80" s="434"/>
      <c r="EV80" s="434"/>
      <c r="EW80" s="434"/>
      <c r="EX80" s="434"/>
      <c r="EY80" s="434"/>
      <c r="EZ80" s="434"/>
      <c r="FA80" s="434"/>
      <c r="FB80" s="434"/>
      <c r="FC80" s="399"/>
      <c r="FD80" s="399"/>
      <c r="FE80" s="399"/>
      <c r="FF80" s="399"/>
      <c r="FG80" s="415"/>
      <c r="FH80" s="415"/>
      <c r="FI80" s="415"/>
      <c r="FJ80" s="415"/>
      <c r="FK80" s="415"/>
      <c r="FL80" s="415"/>
      <c r="FM80" s="415"/>
    </row>
    <row r="81" spans="1:169" hidden="1">
      <c r="A81" s="410" t="s">
        <v>1349</v>
      </c>
      <c r="B81" s="465" t="s">
        <v>1346</v>
      </c>
      <c r="C81" s="412"/>
      <c r="D81" s="412"/>
      <c r="E81" s="412"/>
      <c r="F81" s="412"/>
      <c r="G81" s="412"/>
      <c r="H81" s="412"/>
      <c r="I81" s="412"/>
      <c r="J81" s="412"/>
      <c r="K81" s="412"/>
      <c r="L81" s="412"/>
      <c r="M81" s="413"/>
      <c r="N81" s="413"/>
      <c r="O81" s="413"/>
      <c r="P81" s="413"/>
      <c r="Q81" s="413"/>
      <c r="R81" s="413"/>
      <c r="S81" s="413"/>
      <c r="T81" s="413"/>
      <c r="U81" s="413"/>
      <c r="V81" s="413"/>
      <c r="W81" s="413"/>
      <c r="X81" s="413"/>
      <c r="Y81" s="413"/>
      <c r="Z81" s="413"/>
      <c r="AA81" s="413"/>
      <c r="AB81" s="413"/>
      <c r="AC81" s="413"/>
      <c r="AD81" s="413"/>
      <c r="AE81" s="413"/>
      <c r="AF81" s="413"/>
      <c r="AG81" s="413"/>
      <c r="AH81" s="413"/>
      <c r="AI81" s="413"/>
      <c r="AJ81" s="413"/>
      <c r="AK81" s="413"/>
      <c r="AL81" s="413"/>
      <c r="AM81" s="413"/>
      <c r="AN81" s="413"/>
      <c r="AO81" s="414"/>
      <c r="AP81" s="413"/>
      <c r="AQ81" s="413"/>
      <c r="AR81" s="413"/>
      <c r="AS81" s="413"/>
      <c r="AT81" s="413"/>
      <c r="AU81" s="413"/>
      <c r="AV81" s="413"/>
      <c r="AW81" s="413"/>
      <c r="AX81" s="413"/>
      <c r="AY81" s="414"/>
      <c r="AZ81" s="413"/>
      <c r="BA81" s="413"/>
      <c r="BB81" s="413"/>
      <c r="BC81" s="413"/>
      <c r="BD81" s="413"/>
      <c r="BE81" s="413"/>
      <c r="BF81" s="413"/>
      <c r="BG81" s="413"/>
      <c r="BH81" s="413"/>
      <c r="BI81" s="414"/>
      <c r="BJ81" s="413"/>
      <c r="BK81" s="413"/>
      <c r="BL81" s="413"/>
      <c r="BM81" s="413"/>
      <c r="BN81" s="413"/>
      <c r="BO81" s="413"/>
      <c r="BP81" s="413"/>
      <c r="BQ81" s="413"/>
      <c r="BR81" s="413"/>
      <c r="BS81" s="413"/>
      <c r="BT81" s="413"/>
      <c r="BU81" s="413"/>
      <c r="BV81" s="413"/>
      <c r="BW81" s="413"/>
      <c r="BX81" s="413"/>
      <c r="BY81" s="413"/>
      <c r="BZ81" s="413"/>
      <c r="CA81" s="413"/>
      <c r="CB81" s="413"/>
      <c r="CC81" s="413"/>
      <c r="CD81" s="413"/>
      <c r="CE81" s="413"/>
      <c r="CF81" s="413"/>
      <c r="CG81" s="413"/>
      <c r="CH81" s="413"/>
      <c r="CI81" s="413"/>
      <c r="CJ81" s="413"/>
      <c r="CK81" s="413"/>
      <c r="CL81" s="413"/>
      <c r="CM81" s="414"/>
      <c r="CN81" s="413"/>
      <c r="CO81" s="413"/>
      <c r="CP81" s="413"/>
      <c r="CQ81" s="413"/>
      <c r="CR81" s="413"/>
      <c r="CS81" s="413"/>
      <c r="CT81" s="413"/>
      <c r="CU81" s="413"/>
      <c r="CV81" s="413"/>
      <c r="CW81" s="414"/>
      <c r="CX81" s="413"/>
      <c r="CY81" s="413"/>
      <c r="CZ81" s="413"/>
      <c r="DA81" s="413"/>
      <c r="DB81" s="413"/>
      <c r="DC81" s="413"/>
      <c r="DD81" s="413"/>
      <c r="DE81" s="413"/>
      <c r="DF81" s="413"/>
      <c r="DG81" s="414"/>
      <c r="DH81" s="413"/>
      <c r="DI81" s="413"/>
      <c r="DJ81" s="413"/>
      <c r="DK81" s="413"/>
      <c r="DL81" s="413"/>
      <c r="DM81" s="413"/>
      <c r="DN81" s="413"/>
      <c r="DO81" s="413"/>
      <c r="DP81" s="413"/>
      <c r="DQ81" s="414"/>
      <c r="DR81" s="413"/>
      <c r="DS81" s="413"/>
      <c r="DT81" s="413"/>
      <c r="DU81" s="413"/>
      <c r="DV81" s="413"/>
      <c r="DW81" s="413"/>
      <c r="DX81" s="413"/>
      <c r="DY81" s="413"/>
      <c r="DZ81" s="413"/>
      <c r="EA81" s="413"/>
      <c r="EB81" s="413"/>
      <c r="EC81" s="413"/>
      <c r="ED81" s="413"/>
      <c r="EE81" s="413"/>
      <c r="EF81" s="413"/>
      <c r="EG81" s="413"/>
      <c r="EH81" s="413"/>
      <c r="EI81" s="413"/>
      <c r="EJ81" s="413"/>
      <c r="EK81" s="413"/>
      <c r="EL81" s="413"/>
      <c r="EM81" s="452"/>
      <c r="EN81" s="413"/>
      <c r="EO81" s="453"/>
      <c r="EP81" s="413"/>
      <c r="EQ81" s="434"/>
      <c r="ER81" s="434"/>
      <c r="ES81" s="434"/>
      <c r="ET81" s="434"/>
      <c r="EU81" s="434"/>
      <c r="EV81" s="434"/>
      <c r="EW81" s="434"/>
      <c r="EX81" s="434"/>
      <c r="EY81" s="434"/>
      <c r="EZ81" s="434"/>
      <c r="FA81" s="434"/>
      <c r="FB81" s="434"/>
      <c r="FC81" s="399"/>
      <c r="FD81" s="399"/>
      <c r="FE81" s="399"/>
      <c r="FF81" s="399"/>
      <c r="FG81" s="415"/>
      <c r="FH81" s="415"/>
      <c r="FI81" s="415"/>
      <c r="FJ81" s="415"/>
      <c r="FK81" s="415"/>
      <c r="FL81" s="415"/>
      <c r="FM81" s="415"/>
    </row>
    <row r="82" spans="1:169" hidden="1">
      <c r="A82" s="410" t="s">
        <v>1351</v>
      </c>
      <c r="B82" s="465" t="s">
        <v>1347</v>
      </c>
      <c r="C82" s="412"/>
      <c r="D82" s="412"/>
      <c r="E82" s="412"/>
      <c r="F82" s="412"/>
      <c r="G82" s="412"/>
      <c r="H82" s="412"/>
      <c r="I82" s="412"/>
      <c r="J82" s="412"/>
      <c r="K82" s="412"/>
      <c r="L82" s="412"/>
      <c r="M82" s="413"/>
      <c r="N82" s="413"/>
      <c r="O82" s="413"/>
      <c r="P82" s="413"/>
      <c r="Q82" s="413"/>
      <c r="R82" s="413"/>
      <c r="S82" s="413"/>
      <c r="T82" s="413"/>
      <c r="U82" s="413"/>
      <c r="V82" s="413"/>
      <c r="W82" s="413"/>
      <c r="X82" s="413"/>
      <c r="Y82" s="413"/>
      <c r="Z82" s="413"/>
      <c r="AA82" s="413"/>
      <c r="AB82" s="413"/>
      <c r="AC82" s="413"/>
      <c r="AD82" s="413"/>
      <c r="AE82" s="413"/>
      <c r="AF82" s="413"/>
      <c r="AG82" s="413"/>
      <c r="AH82" s="413"/>
      <c r="AI82" s="413"/>
      <c r="AJ82" s="413"/>
      <c r="AK82" s="413"/>
      <c r="AL82" s="413"/>
      <c r="AM82" s="413"/>
      <c r="AN82" s="413"/>
      <c r="AO82" s="414"/>
      <c r="AP82" s="413"/>
      <c r="AQ82" s="413"/>
      <c r="AR82" s="413"/>
      <c r="AS82" s="413"/>
      <c r="AT82" s="413"/>
      <c r="AU82" s="413"/>
      <c r="AV82" s="413"/>
      <c r="AW82" s="413"/>
      <c r="AX82" s="413"/>
      <c r="AY82" s="414"/>
      <c r="AZ82" s="413"/>
      <c r="BA82" s="413"/>
      <c r="BB82" s="413"/>
      <c r="BC82" s="413"/>
      <c r="BD82" s="413"/>
      <c r="BE82" s="413"/>
      <c r="BF82" s="413"/>
      <c r="BG82" s="413"/>
      <c r="BH82" s="413"/>
      <c r="BI82" s="414"/>
      <c r="BJ82" s="413"/>
      <c r="BK82" s="413"/>
      <c r="BL82" s="413"/>
      <c r="BM82" s="413"/>
      <c r="BN82" s="413"/>
      <c r="BO82" s="413"/>
      <c r="BP82" s="413"/>
      <c r="BQ82" s="413"/>
      <c r="BR82" s="413"/>
      <c r="BS82" s="413"/>
      <c r="BT82" s="413"/>
      <c r="BU82" s="413"/>
      <c r="BV82" s="413"/>
      <c r="BW82" s="413"/>
      <c r="BX82" s="413"/>
      <c r="BY82" s="413"/>
      <c r="BZ82" s="413"/>
      <c r="CA82" s="413"/>
      <c r="CB82" s="413"/>
      <c r="CC82" s="413"/>
      <c r="CD82" s="413"/>
      <c r="CE82" s="413"/>
      <c r="CF82" s="413"/>
      <c r="CG82" s="413"/>
      <c r="CH82" s="413"/>
      <c r="CI82" s="413"/>
      <c r="CJ82" s="413"/>
      <c r="CK82" s="413"/>
      <c r="CL82" s="413"/>
      <c r="CM82" s="414"/>
      <c r="CN82" s="413"/>
      <c r="CO82" s="413"/>
      <c r="CP82" s="413"/>
      <c r="CQ82" s="413"/>
      <c r="CR82" s="413"/>
      <c r="CS82" s="413"/>
      <c r="CT82" s="413"/>
      <c r="CU82" s="413"/>
      <c r="CV82" s="413"/>
      <c r="CW82" s="414"/>
      <c r="CX82" s="413"/>
      <c r="CY82" s="413"/>
      <c r="CZ82" s="413"/>
      <c r="DA82" s="413"/>
      <c r="DB82" s="413"/>
      <c r="DC82" s="413"/>
      <c r="DD82" s="413"/>
      <c r="DE82" s="413"/>
      <c r="DF82" s="413"/>
      <c r="DG82" s="414"/>
      <c r="DH82" s="413"/>
      <c r="DI82" s="413"/>
      <c r="DJ82" s="413"/>
      <c r="DK82" s="413"/>
      <c r="DL82" s="413"/>
      <c r="DM82" s="413"/>
      <c r="DN82" s="413"/>
      <c r="DO82" s="413"/>
      <c r="DP82" s="413"/>
      <c r="DQ82" s="414"/>
      <c r="DR82" s="413"/>
      <c r="DS82" s="413"/>
      <c r="DT82" s="413"/>
      <c r="DU82" s="413"/>
      <c r="DV82" s="413"/>
      <c r="DW82" s="413"/>
      <c r="DX82" s="413"/>
      <c r="DY82" s="413"/>
      <c r="DZ82" s="413"/>
      <c r="EA82" s="413"/>
      <c r="EB82" s="413"/>
      <c r="EC82" s="413"/>
      <c r="ED82" s="413"/>
      <c r="EE82" s="413"/>
      <c r="EF82" s="413"/>
      <c r="EG82" s="413"/>
      <c r="EH82" s="413"/>
      <c r="EI82" s="413"/>
      <c r="EJ82" s="413"/>
      <c r="EK82" s="413"/>
      <c r="EL82" s="413"/>
      <c r="EM82" s="452"/>
      <c r="EN82" s="413"/>
      <c r="EO82" s="453"/>
      <c r="EP82" s="413"/>
      <c r="EQ82" s="434"/>
      <c r="ER82" s="434"/>
      <c r="ES82" s="434"/>
      <c r="ET82" s="434"/>
      <c r="EU82" s="434"/>
      <c r="EV82" s="434"/>
      <c r="EW82" s="434"/>
      <c r="EX82" s="434"/>
      <c r="EY82" s="434"/>
      <c r="EZ82" s="434"/>
      <c r="FA82" s="434"/>
      <c r="FB82" s="434"/>
      <c r="FC82" s="399"/>
      <c r="FD82" s="399"/>
      <c r="FE82" s="399"/>
      <c r="FF82" s="399"/>
      <c r="FG82" s="415"/>
      <c r="FH82" s="415"/>
      <c r="FI82" s="415"/>
      <c r="FJ82" s="415"/>
      <c r="FK82" s="415"/>
      <c r="FL82" s="415"/>
      <c r="FM82" s="415"/>
    </row>
    <row r="83" spans="1:169" hidden="1">
      <c r="A83" s="410" t="s">
        <v>1350</v>
      </c>
      <c r="B83" s="465"/>
      <c r="C83" s="412"/>
      <c r="D83" s="412"/>
      <c r="E83" s="412"/>
      <c r="F83" s="412"/>
      <c r="G83" s="412"/>
      <c r="H83" s="412"/>
      <c r="I83" s="412"/>
      <c r="J83" s="412"/>
      <c r="K83" s="412"/>
      <c r="L83" s="412"/>
      <c r="M83" s="413"/>
      <c r="N83" s="413"/>
      <c r="O83" s="413"/>
      <c r="P83" s="413"/>
      <c r="Q83" s="413"/>
      <c r="R83" s="413"/>
      <c r="S83" s="413"/>
      <c r="T83" s="413"/>
      <c r="U83" s="413"/>
      <c r="V83" s="413"/>
      <c r="W83" s="413"/>
      <c r="X83" s="413"/>
      <c r="Y83" s="413"/>
      <c r="Z83" s="413"/>
      <c r="AA83" s="413"/>
      <c r="AB83" s="413"/>
      <c r="AC83" s="413"/>
      <c r="AD83" s="413"/>
      <c r="AE83" s="413"/>
      <c r="AF83" s="413"/>
      <c r="AG83" s="413"/>
      <c r="AH83" s="413"/>
      <c r="AI83" s="413"/>
      <c r="AJ83" s="413"/>
      <c r="AK83" s="413"/>
      <c r="AL83" s="413"/>
      <c r="AM83" s="413"/>
      <c r="AN83" s="413"/>
      <c r="AO83" s="414"/>
      <c r="AP83" s="413"/>
      <c r="AQ83" s="413"/>
      <c r="AR83" s="413"/>
      <c r="AS83" s="413"/>
      <c r="AT83" s="413"/>
      <c r="AU83" s="413"/>
      <c r="AV83" s="413"/>
      <c r="AW83" s="413"/>
      <c r="AX83" s="413"/>
      <c r="AY83" s="414"/>
      <c r="AZ83" s="413"/>
      <c r="BA83" s="413"/>
      <c r="BB83" s="413"/>
      <c r="BC83" s="413"/>
      <c r="BD83" s="413"/>
      <c r="BE83" s="413"/>
      <c r="BF83" s="413"/>
      <c r="BG83" s="413"/>
      <c r="BH83" s="413"/>
      <c r="BI83" s="414"/>
      <c r="BJ83" s="413"/>
      <c r="BK83" s="413"/>
      <c r="BL83" s="413"/>
      <c r="BM83" s="413"/>
      <c r="BN83" s="413"/>
      <c r="BO83" s="413"/>
      <c r="BP83" s="413"/>
      <c r="BQ83" s="413"/>
      <c r="BR83" s="413"/>
      <c r="BS83" s="413"/>
      <c r="BT83" s="413"/>
      <c r="BU83" s="413"/>
      <c r="BV83" s="413"/>
      <c r="BW83" s="413"/>
      <c r="BX83" s="413"/>
      <c r="BY83" s="413"/>
      <c r="BZ83" s="413"/>
      <c r="CA83" s="413"/>
      <c r="CB83" s="413"/>
      <c r="CC83" s="413"/>
      <c r="CD83" s="413"/>
      <c r="CE83" s="413"/>
      <c r="CF83" s="413"/>
      <c r="CG83" s="413"/>
      <c r="CH83" s="413"/>
      <c r="CI83" s="413"/>
      <c r="CJ83" s="413"/>
      <c r="CK83" s="413"/>
      <c r="CL83" s="413"/>
      <c r="CM83" s="414"/>
      <c r="CN83" s="413"/>
      <c r="CO83" s="413"/>
      <c r="CP83" s="413"/>
      <c r="CQ83" s="413"/>
      <c r="CR83" s="413"/>
      <c r="CS83" s="413"/>
      <c r="CT83" s="413"/>
      <c r="CU83" s="413"/>
      <c r="CV83" s="413"/>
      <c r="CW83" s="414"/>
      <c r="CX83" s="413"/>
      <c r="CY83" s="413"/>
      <c r="CZ83" s="413"/>
      <c r="DA83" s="413"/>
      <c r="DB83" s="413"/>
      <c r="DC83" s="413"/>
      <c r="DD83" s="413"/>
      <c r="DE83" s="413"/>
      <c r="DF83" s="413"/>
      <c r="DG83" s="414"/>
      <c r="DH83" s="413"/>
      <c r="DI83" s="413"/>
      <c r="DJ83" s="413"/>
      <c r="DK83" s="413"/>
      <c r="DL83" s="413"/>
      <c r="DM83" s="413"/>
      <c r="DN83" s="413"/>
      <c r="DO83" s="413"/>
      <c r="DP83" s="413"/>
      <c r="DQ83" s="414"/>
      <c r="DR83" s="413"/>
      <c r="DS83" s="413"/>
      <c r="DT83" s="413"/>
      <c r="DU83" s="413"/>
      <c r="DV83" s="413"/>
      <c r="DW83" s="413"/>
      <c r="DX83" s="413"/>
      <c r="DY83" s="413"/>
      <c r="DZ83" s="413"/>
      <c r="EA83" s="413"/>
      <c r="EB83" s="413"/>
      <c r="EC83" s="413"/>
      <c r="ED83" s="413"/>
      <c r="EE83" s="413"/>
      <c r="EF83" s="413"/>
      <c r="EG83" s="413"/>
      <c r="EH83" s="413"/>
      <c r="EI83" s="413"/>
      <c r="EJ83" s="413"/>
      <c r="EK83" s="413"/>
      <c r="EL83" s="413"/>
      <c r="EM83" s="452"/>
      <c r="EN83" s="413"/>
      <c r="EO83" s="453"/>
      <c r="EP83" s="413"/>
      <c r="EQ83" s="434"/>
      <c r="ER83" s="434"/>
      <c r="ES83" s="434"/>
      <c r="ET83" s="434"/>
      <c r="EU83" s="434"/>
      <c r="EV83" s="434"/>
      <c r="EW83" s="434"/>
      <c r="EX83" s="434"/>
      <c r="EY83" s="434"/>
      <c r="EZ83" s="434"/>
      <c r="FA83" s="434"/>
      <c r="FB83" s="434"/>
      <c r="FC83" s="399"/>
      <c r="FD83" s="399"/>
      <c r="FE83" s="399"/>
      <c r="FF83" s="399"/>
      <c r="FG83" s="415"/>
      <c r="FH83" s="415"/>
      <c r="FI83" s="415"/>
      <c r="FJ83" s="415"/>
      <c r="FK83" s="415"/>
      <c r="FL83" s="415"/>
      <c r="FM83" s="415"/>
    </row>
    <row r="84" spans="1:169" hidden="1">
      <c r="A84" s="410"/>
      <c r="B84" s="465" t="s">
        <v>672</v>
      </c>
      <c r="C84" s="412"/>
      <c r="D84" s="412"/>
      <c r="E84" s="412"/>
      <c r="F84" s="412"/>
      <c r="G84" s="412"/>
      <c r="H84" s="412"/>
      <c r="I84" s="412"/>
      <c r="J84" s="412"/>
      <c r="K84" s="412"/>
      <c r="L84" s="412"/>
      <c r="M84" s="413"/>
      <c r="N84" s="413"/>
      <c r="O84" s="413"/>
      <c r="P84" s="413"/>
      <c r="Q84" s="413"/>
      <c r="R84" s="413"/>
      <c r="S84" s="413"/>
      <c r="T84" s="413"/>
      <c r="U84" s="413"/>
      <c r="V84" s="413"/>
      <c r="W84" s="413"/>
      <c r="X84" s="413"/>
      <c r="Y84" s="413"/>
      <c r="Z84" s="413"/>
      <c r="AA84" s="413"/>
      <c r="AB84" s="413"/>
      <c r="AC84" s="413"/>
      <c r="AD84" s="413"/>
      <c r="AE84" s="413"/>
      <c r="AF84" s="413"/>
      <c r="AG84" s="413"/>
      <c r="AH84" s="413"/>
      <c r="AI84" s="413"/>
      <c r="AJ84" s="413"/>
      <c r="AK84" s="413"/>
      <c r="AL84" s="413"/>
      <c r="AM84" s="413"/>
      <c r="AN84" s="413"/>
      <c r="AO84" s="414"/>
      <c r="AP84" s="413"/>
      <c r="AQ84" s="413"/>
      <c r="AR84" s="413"/>
      <c r="AS84" s="413"/>
      <c r="AT84" s="413"/>
      <c r="AU84" s="413"/>
      <c r="AV84" s="413"/>
      <c r="AW84" s="413"/>
      <c r="AX84" s="413"/>
      <c r="AY84" s="414"/>
      <c r="AZ84" s="413"/>
      <c r="BA84" s="413"/>
      <c r="BB84" s="413"/>
      <c r="BC84" s="413"/>
      <c r="BD84" s="413"/>
      <c r="BE84" s="413"/>
      <c r="BF84" s="413"/>
      <c r="BG84" s="413"/>
      <c r="BH84" s="413"/>
      <c r="BI84" s="414"/>
      <c r="BJ84" s="413"/>
      <c r="BK84" s="413"/>
      <c r="BL84" s="413"/>
      <c r="BM84" s="413"/>
      <c r="BN84" s="413"/>
      <c r="BO84" s="413"/>
      <c r="BP84" s="413"/>
      <c r="BQ84" s="413"/>
      <c r="BR84" s="413"/>
      <c r="BS84" s="413"/>
      <c r="BT84" s="413"/>
      <c r="BU84" s="413"/>
      <c r="BV84" s="413"/>
      <c r="BW84" s="413"/>
      <c r="BX84" s="413"/>
      <c r="BY84" s="413"/>
      <c r="BZ84" s="413"/>
      <c r="CA84" s="413"/>
      <c r="CB84" s="413"/>
      <c r="CC84" s="413"/>
      <c r="CD84" s="413"/>
      <c r="CE84" s="413"/>
      <c r="CF84" s="413"/>
      <c r="CG84" s="413"/>
      <c r="CH84" s="413"/>
      <c r="CI84" s="413"/>
      <c r="CJ84" s="413"/>
      <c r="CK84" s="413"/>
      <c r="CL84" s="413"/>
      <c r="CM84" s="414"/>
      <c r="CN84" s="413"/>
      <c r="CO84" s="413"/>
      <c r="CP84" s="413"/>
      <c r="CQ84" s="413"/>
      <c r="CR84" s="413"/>
      <c r="CS84" s="413"/>
      <c r="CT84" s="413"/>
      <c r="CU84" s="413"/>
      <c r="CV84" s="413"/>
      <c r="CW84" s="414"/>
      <c r="CX84" s="413"/>
      <c r="CY84" s="413"/>
      <c r="CZ84" s="413"/>
      <c r="DA84" s="413"/>
      <c r="DB84" s="413"/>
      <c r="DC84" s="413"/>
      <c r="DD84" s="413"/>
      <c r="DE84" s="413"/>
      <c r="DF84" s="413"/>
      <c r="DG84" s="414"/>
      <c r="DH84" s="413"/>
      <c r="DI84" s="413"/>
      <c r="DJ84" s="413"/>
      <c r="DK84" s="413"/>
      <c r="DL84" s="413"/>
      <c r="DM84" s="413"/>
      <c r="DN84" s="413"/>
      <c r="DO84" s="413"/>
      <c r="DP84" s="413"/>
      <c r="DQ84" s="414"/>
      <c r="DR84" s="413"/>
      <c r="DS84" s="413"/>
      <c r="DT84" s="413"/>
      <c r="DU84" s="413"/>
      <c r="DV84" s="413"/>
      <c r="DW84" s="413"/>
      <c r="DX84" s="413"/>
      <c r="DY84" s="413"/>
      <c r="DZ84" s="413"/>
      <c r="EA84" s="413"/>
      <c r="EB84" s="413"/>
      <c r="EC84" s="413"/>
      <c r="ED84" s="413"/>
      <c r="EE84" s="413"/>
      <c r="EF84" s="413"/>
      <c r="EG84" s="413"/>
      <c r="EH84" s="413"/>
      <c r="EI84" s="413"/>
      <c r="EJ84" s="413"/>
      <c r="EK84" s="413"/>
      <c r="EL84" s="413"/>
      <c r="EM84" s="452"/>
      <c r="EN84" s="413"/>
      <c r="EO84" s="453"/>
      <c r="EP84" s="413"/>
      <c r="EQ84" s="434"/>
      <c r="ER84" s="434"/>
      <c r="ES84" s="434"/>
      <c r="ET84" s="434"/>
      <c r="EU84" s="434"/>
      <c r="EV84" s="434"/>
      <c r="EW84" s="434"/>
      <c r="EX84" s="434"/>
      <c r="EY84" s="434"/>
      <c r="EZ84" s="434"/>
      <c r="FA84" s="434"/>
      <c r="FB84" s="434"/>
      <c r="FC84" s="399"/>
      <c r="FD84" s="399"/>
      <c r="FE84" s="399"/>
      <c r="FF84" s="399"/>
      <c r="FG84" s="415"/>
      <c r="FH84" s="415"/>
      <c r="FI84" s="415"/>
      <c r="FJ84" s="415"/>
      <c r="FK84" s="415"/>
      <c r="FL84" s="415"/>
      <c r="FM84" s="415"/>
    </row>
    <row r="85" spans="1:169" hidden="1">
      <c r="A85" s="410"/>
      <c r="B85" s="57" t="s">
        <v>153</v>
      </c>
      <c r="C85" s="412"/>
      <c r="D85" s="412"/>
      <c r="E85" s="412"/>
      <c r="F85" s="412"/>
      <c r="G85" s="412"/>
      <c r="H85" s="412"/>
      <c r="I85" s="412"/>
      <c r="J85" s="412"/>
      <c r="K85" s="412"/>
      <c r="L85" s="412"/>
      <c r="M85" s="413"/>
      <c r="N85" s="413"/>
      <c r="O85" s="413"/>
      <c r="P85" s="413"/>
      <c r="Q85" s="413"/>
      <c r="R85" s="413"/>
      <c r="S85" s="413"/>
      <c r="T85" s="413"/>
      <c r="U85" s="413"/>
      <c r="V85" s="413"/>
      <c r="W85" s="413"/>
      <c r="X85" s="413"/>
      <c r="Y85" s="413"/>
      <c r="Z85" s="413"/>
      <c r="AA85" s="413"/>
      <c r="AB85" s="413"/>
      <c r="AC85" s="413"/>
      <c r="AD85" s="413"/>
      <c r="AE85" s="413"/>
      <c r="AF85" s="413"/>
      <c r="AG85" s="413"/>
      <c r="AH85" s="413"/>
      <c r="AI85" s="413"/>
      <c r="AJ85" s="413"/>
      <c r="AK85" s="413"/>
      <c r="AL85" s="413"/>
      <c r="AM85" s="413"/>
      <c r="AN85" s="413"/>
      <c r="AO85" s="414"/>
      <c r="AP85" s="413"/>
      <c r="AQ85" s="413"/>
      <c r="AR85" s="413"/>
      <c r="AS85" s="413"/>
      <c r="AT85" s="413"/>
      <c r="AU85" s="413"/>
      <c r="AV85" s="413"/>
      <c r="AW85" s="413"/>
      <c r="AX85" s="413"/>
      <c r="AY85" s="414"/>
      <c r="AZ85" s="413"/>
      <c r="BA85" s="413"/>
      <c r="BB85" s="413"/>
      <c r="BC85" s="413"/>
      <c r="BD85" s="413"/>
      <c r="BE85" s="413"/>
      <c r="BF85" s="413"/>
      <c r="BG85" s="413"/>
      <c r="BH85" s="413"/>
      <c r="BI85" s="414"/>
      <c r="BJ85" s="413"/>
      <c r="BK85" s="413"/>
      <c r="BL85" s="413"/>
      <c r="BM85" s="413"/>
      <c r="BN85" s="413"/>
      <c r="BO85" s="413"/>
      <c r="BP85" s="413"/>
      <c r="BQ85" s="413"/>
      <c r="BR85" s="413"/>
      <c r="BS85" s="413"/>
      <c r="BT85" s="413"/>
      <c r="BU85" s="413"/>
      <c r="BV85" s="413"/>
      <c r="BW85" s="413"/>
      <c r="BX85" s="413"/>
      <c r="BY85" s="413"/>
      <c r="BZ85" s="413"/>
      <c r="CA85" s="413"/>
      <c r="CB85" s="413"/>
      <c r="CC85" s="413"/>
      <c r="CD85" s="413"/>
      <c r="CE85" s="413"/>
      <c r="CF85" s="413"/>
      <c r="CG85" s="413"/>
      <c r="CH85" s="413"/>
      <c r="CI85" s="413"/>
      <c r="CJ85" s="413"/>
      <c r="CK85" s="413"/>
      <c r="CL85" s="413"/>
      <c r="CM85" s="414"/>
      <c r="CN85" s="413"/>
      <c r="CO85" s="413"/>
      <c r="CP85" s="413"/>
      <c r="CQ85" s="413"/>
      <c r="CR85" s="413"/>
      <c r="CS85" s="413"/>
      <c r="CT85" s="413"/>
      <c r="CU85" s="413"/>
      <c r="CV85" s="413"/>
      <c r="CW85" s="414"/>
      <c r="CX85" s="413"/>
      <c r="CY85" s="413"/>
      <c r="CZ85" s="413"/>
      <c r="DA85" s="413"/>
      <c r="DB85" s="413"/>
      <c r="DC85" s="413"/>
      <c r="DD85" s="413"/>
      <c r="DE85" s="413"/>
      <c r="DF85" s="413"/>
      <c r="DG85" s="414"/>
      <c r="DH85" s="413"/>
      <c r="DI85" s="413"/>
      <c r="DJ85" s="413"/>
      <c r="DK85" s="413"/>
      <c r="DL85" s="413"/>
      <c r="DM85" s="413"/>
      <c r="DN85" s="413"/>
      <c r="DO85" s="413"/>
      <c r="DP85" s="413"/>
      <c r="DQ85" s="414"/>
      <c r="DR85" s="413"/>
      <c r="DS85" s="413"/>
      <c r="DT85" s="413"/>
      <c r="DU85" s="413"/>
      <c r="DV85" s="413"/>
      <c r="DW85" s="413"/>
      <c r="DX85" s="413"/>
      <c r="DY85" s="413"/>
      <c r="DZ85" s="413"/>
      <c r="EA85" s="413"/>
      <c r="EB85" s="413"/>
      <c r="EC85" s="413"/>
      <c r="ED85" s="413"/>
      <c r="EE85" s="413"/>
      <c r="EF85" s="413"/>
      <c r="EG85" s="413"/>
      <c r="EH85" s="413"/>
      <c r="EI85" s="413"/>
      <c r="EJ85" s="413"/>
      <c r="EK85" s="413"/>
      <c r="EL85" s="413"/>
      <c r="EM85" s="452"/>
      <c r="EN85" s="413"/>
      <c r="EO85" s="453"/>
      <c r="EP85" s="413"/>
      <c r="EQ85" s="434"/>
      <c r="ER85" s="434"/>
      <c r="ES85" s="434"/>
      <c r="ET85" s="434"/>
      <c r="EU85" s="434"/>
      <c r="EV85" s="434"/>
      <c r="EW85" s="434"/>
      <c r="EX85" s="434"/>
      <c r="EY85" s="434"/>
      <c r="EZ85" s="434"/>
      <c r="FA85" s="434"/>
      <c r="FB85" s="434"/>
      <c r="FC85" s="399"/>
      <c r="FD85" s="399"/>
      <c r="FE85" s="399"/>
      <c r="FF85" s="399"/>
      <c r="FG85" s="415"/>
      <c r="FH85" s="415"/>
      <c r="FI85" s="415"/>
      <c r="FJ85" s="415"/>
      <c r="FK85" s="415"/>
      <c r="FL85" s="415"/>
      <c r="FM85" s="415"/>
    </row>
    <row r="86" spans="1:169" hidden="1">
      <c r="A86" s="410"/>
      <c r="B86" s="57"/>
      <c r="C86" s="412"/>
      <c r="D86" s="412"/>
      <c r="E86" s="412"/>
      <c r="F86" s="412"/>
      <c r="G86" s="412"/>
      <c r="H86" s="412"/>
      <c r="I86" s="412"/>
      <c r="J86" s="412"/>
      <c r="K86" s="412"/>
      <c r="L86" s="412"/>
      <c r="M86" s="413"/>
      <c r="N86" s="413"/>
      <c r="O86" s="413"/>
      <c r="P86" s="413"/>
      <c r="Q86" s="413"/>
      <c r="R86" s="413"/>
      <c r="S86" s="413"/>
      <c r="T86" s="413"/>
      <c r="U86" s="413"/>
      <c r="V86" s="413"/>
      <c r="W86" s="413"/>
      <c r="X86" s="413"/>
      <c r="Y86" s="413"/>
      <c r="Z86" s="413"/>
      <c r="AA86" s="413"/>
      <c r="AB86" s="413"/>
      <c r="AC86" s="413"/>
      <c r="AD86" s="413"/>
      <c r="AE86" s="413"/>
      <c r="AF86" s="413"/>
      <c r="AG86" s="413"/>
      <c r="AH86" s="413"/>
      <c r="AI86" s="413"/>
      <c r="AJ86" s="413"/>
      <c r="AK86" s="413"/>
      <c r="AL86" s="413"/>
      <c r="AM86" s="413"/>
      <c r="AN86" s="413"/>
      <c r="AO86" s="414"/>
      <c r="AP86" s="413"/>
      <c r="AQ86" s="413"/>
      <c r="AR86" s="413"/>
      <c r="AS86" s="413"/>
      <c r="AT86" s="413"/>
      <c r="AU86" s="413"/>
      <c r="AV86" s="413"/>
      <c r="AW86" s="413"/>
      <c r="AX86" s="413"/>
      <c r="AY86" s="414"/>
      <c r="AZ86" s="413"/>
      <c r="BA86" s="413"/>
      <c r="BB86" s="413"/>
      <c r="BC86" s="413"/>
      <c r="BD86" s="413"/>
      <c r="BE86" s="413"/>
      <c r="BF86" s="413"/>
      <c r="BG86" s="413"/>
      <c r="BH86" s="413"/>
      <c r="BI86" s="414"/>
      <c r="BJ86" s="413"/>
      <c r="BK86" s="413"/>
      <c r="BL86" s="413"/>
      <c r="BM86" s="413"/>
      <c r="BN86" s="413"/>
      <c r="BO86" s="413"/>
      <c r="BP86" s="413"/>
      <c r="BQ86" s="413"/>
      <c r="BR86" s="413"/>
      <c r="BS86" s="413"/>
      <c r="BT86" s="413"/>
      <c r="BU86" s="413"/>
      <c r="BV86" s="413"/>
      <c r="BW86" s="413"/>
      <c r="BX86" s="413"/>
      <c r="BY86" s="413"/>
      <c r="BZ86" s="413"/>
      <c r="CA86" s="413"/>
      <c r="CB86" s="413"/>
      <c r="CC86" s="413"/>
      <c r="CD86" s="413"/>
      <c r="CE86" s="413"/>
      <c r="CF86" s="413"/>
      <c r="CG86" s="413"/>
      <c r="CH86" s="413"/>
      <c r="CI86" s="413"/>
      <c r="CJ86" s="413"/>
      <c r="CK86" s="413"/>
      <c r="CL86" s="413"/>
      <c r="CM86" s="414"/>
      <c r="CN86" s="413"/>
      <c r="CO86" s="413"/>
      <c r="CP86" s="413"/>
      <c r="CQ86" s="413"/>
      <c r="CR86" s="413"/>
      <c r="CS86" s="413"/>
      <c r="CT86" s="413"/>
      <c r="CU86" s="413"/>
      <c r="CV86" s="413"/>
      <c r="CW86" s="414"/>
      <c r="CX86" s="413"/>
      <c r="CY86" s="413"/>
      <c r="CZ86" s="413"/>
      <c r="DA86" s="413"/>
      <c r="DB86" s="413"/>
      <c r="DC86" s="413"/>
      <c r="DD86" s="413"/>
      <c r="DE86" s="413"/>
      <c r="DF86" s="413"/>
      <c r="DG86" s="414"/>
      <c r="DH86" s="413"/>
      <c r="DI86" s="413"/>
      <c r="DJ86" s="413"/>
      <c r="DK86" s="413"/>
      <c r="DL86" s="413"/>
      <c r="DM86" s="413"/>
      <c r="DN86" s="413"/>
      <c r="DO86" s="413"/>
      <c r="DP86" s="413"/>
      <c r="DQ86" s="414"/>
      <c r="DR86" s="413"/>
      <c r="DS86" s="413"/>
      <c r="DT86" s="413"/>
      <c r="DU86" s="413"/>
      <c r="DV86" s="413"/>
      <c r="DW86" s="413"/>
      <c r="DX86" s="413"/>
      <c r="DY86" s="413"/>
      <c r="DZ86" s="413"/>
      <c r="EA86" s="413"/>
      <c r="EB86" s="413"/>
      <c r="EC86" s="413"/>
      <c r="ED86" s="413"/>
      <c r="EE86" s="413"/>
      <c r="EF86" s="413"/>
      <c r="EG86" s="413"/>
      <c r="EH86" s="413"/>
      <c r="EI86" s="413"/>
      <c r="EJ86" s="413"/>
      <c r="EK86" s="413"/>
      <c r="EL86" s="413"/>
      <c r="EM86" s="452"/>
      <c r="EN86" s="413"/>
      <c r="EO86" s="453"/>
      <c r="EP86" s="413"/>
      <c r="EQ86" s="434"/>
      <c r="ER86" s="434"/>
      <c r="ES86" s="434"/>
      <c r="ET86" s="434"/>
      <c r="EU86" s="434"/>
      <c r="EV86" s="434"/>
      <c r="EW86" s="434"/>
      <c r="EX86" s="434"/>
      <c r="EY86" s="434"/>
      <c r="EZ86" s="434"/>
      <c r="FA86" s="434"/>
      <c r="FB86" s="434"/>
      <c r="FC86" s="399"/>
      <c r="FD86" s="399"/>
      <c r="FE86" s="399"/>
      <c r="FF86" s="399"/>
      <c r="FG86" s="415"/>
      <c r="FH86" s="415"/>
      <c r="FI86" s="415"/>
      <c r="FJ86" s="415"/>
      <c r="FK86" s="415"/>
      <c r="FL86" s="415"/>
      <c r="FM86" s="415"/>
    </row>
    <row r="87" spans="1:169" hidden="1">
      <c r="A87" s="410"/>
      <c r="B87" s="57" t="s">
        <v>1371</v>
      </c>
      <c r="C87" s="412"/>
      <c r="D87" s="412"/>
      <c r="E87" s="412"/>
      <c r="F87" s="412"/>
      <c r="G87" s="412"/>
      <c r="H87" s="412"/>
      <c r="I87" s="412"/>
      <c r="J87" s="412"/>
      <c r="K87" s="412"/>
      <c r="L87" s="412"/>
      <c r="M87" s="413"/>
      <c r="N87" s="413"/>
      <c r="O87" s="413"/>
      <c r="P87" s="413"/>
      <c r="Q87" s="413"/>
      <c r="R87" s="413"/>
      <c r="S87" s="413"/>
      <c r="T87" s="413"/>
      <c r="U87" s="413"/>
      <c r="V87" s="413"/>
      <c r="W87" s="413"/>
      <c r="X87" s="413"/>
      <c r="Y87" s="413"/>
      <c r="Z87" s="413"/>
      <c r="AA87" s="413"/>
      <c r="AB87" s="413"/>
      <c r="AC87" s="413"/>
      <c r="AD87" s="413"/>
      <c r="AE87" s="413"/>
      <c r="AF87" s="413"/>
      <c r="AG87" s="413"/>
      <c r="AH87" s="413"/>
      <c r="AI87" s="413"/>
      <c r="AJ87" s="413"/>
      <c r="AK87" s="413"/>
      <c r="AL87" s="413"/>
      <c r="AM87" s="413"/>
      <c r="AN87" s="413"/>
      <c r="AO87" s="414"/>
      <c r="AP87" s="413"/>
      <c r="AQ87" s="413"/>
      <c r="AR87" s="413"/>
      <c r="AS87" s="413"/>
      <c r="AT87" s="413"/>
      <c r="AU87" s="413"/>
      <c r="AV87" s="413"/>
      <c r="AW87" s="413"/>
      <c r="AX87" s="413"/>
      <c r="AY87" s="414"/>
      <c r="AZ87" s="413"/>
      <c r="BA87" s="413"/>
      <c r="BB87" s="413"/>
      <c r="BC87" s="413"/>
      <c r="BD87" s="413"/>
      <c r="BE87" s="413"/>
      <c r="BF87" s="413"/>
      <c r="BG87" s="413"/>
      <c r="BH87" s="413"/>
      <c r="BI87" s="414"/>
      <c r="BJ87" s="413"/>
      <c r="BK87" s="413"/>
      <c r="BL87" s="413"/>
      <c r="BM87" s="413"/>
      <c r="BN87" s="413"/>
      <c r="BO87" s="413"/>
      <c r="BP87" s="413"/>
      <c r="BQ87" s="413"/>
      <c r="BR87" s="413"/>
      <c r="BS87" s="413"/>
      <c r="BT87" s="413"/>
      <c r="BU87" s="413"/>
      <c r="BV87" s="413"/>
      <c r="BW87" s="413"/>
      <c r="BX87" s="413"/>
      <c r="BY87" s="413"/>
      <c r="BZ87" s="413"/>
      <c r="CA87" s="413"/>
      <c r="CB87" s="413"/>
      <c r="CC87" s="413"/>
      <c r="CD87" s="413"/>
      <c r="CE87" s="413"/>
      <c r="CF87" s="413"/>
      <c r="CG87" s="413"/>
      <c r="CH87" s="413"/>
      <c r="CI87" s="413"/>
      <c r="CJ87" s="413"/>
      <c r="CK87" s="413"/>
      <c r="CL87" s="413"/>
      <c r="CM87" s="414"/>
      <c r="CN87" s="413"/>
      <c r="CO87" s="413"/>
      <c r="CP87" s="413"/>
      <c r="CQ87" s="413"/>
      <c r="CR87" s="413"/>
      <c r="CS87" s="413"/>
      <c r="CT87" s="413"/>
      <c r="CU87" s="413"/>
      <c r="CV87" s="413"/>
      <c r="CW87" s="414"/>
      <c r="CX87" s="413"/>
      <c r="CY87" s="413"/>
      <c r="CZ87" s="413"/>
      <c r="DA87" s="413"/>
      <c r="DB87" s="413"/>
      <c r="DC87" s="413"/>
      <c r="DD87" s="413"/>
      <c r="DE87" s="413"/>
      <c r="DF87" s="413"/>
      <c r="DG87" s="414"/>
      <c r="DH87" s="413"/>
      <c r="DI87" s="413"/>
      <c r="DJ87" s="413"/>
      <c r="DK87" s="413"/>
      <c r="DL87" s="413"/>
      <c r="DM87" s="413"/>
      <c r="DN87" s="413"/>
      <c r="DO87" s="413"/>
      <c r="DP87" s="413"/>
      <c r="DQ87" s="414"/>
      <c r="DR87" s="413"/>
      <c r="DS87" s="413"/>
      <c r="DT87" s="413"/>
      <c r="DU87" s="413"/>
      <c r="DV87" s="413"/>
      <c r="DW87" s="413"/>
      <c r="DX87" s="413"/>
      <c r="DY87" s="413"/>
      <c r="DZ87" s="413"/>
      <c r="EA87" s="413"/>
      <c r="EB87" s="413"/>
      <c r="EC87" s="413"/>
      <c r="ED87" s="413"/>
      <c r="EE87" s="413"/>
      <c r="EF87" s="413"/>
      <c r="EG87" s="413"/>
      <c r="EH87" s="413"/>
      <c r="EI87" s="413"/>
      <c r="EJ87" s="413"/>
      <c r="EK87" s="413"/>
      <c r="EL87" s="413"/>
      <c r="EM87" s="452"/>
      <c r="EN87" s="413"/>
      <c r="EO87" s="453"/>
      <c r="EP87" s="413"/>
      <c r="EQ87" s="434"/>
      <c r="ER87" s="434"/>
      <c r="ES87" s="434"/>
      <c r="ET87" s="434"/>
      <c r="EU87" s="434"/>
      <c r="EV87" s="434"/>
      <c r="EW87" s="434"/>
      <c r="EX87" s="434"/>
      <c r="EY87" s="434"/>
      <c r="EZ87" s="434"/>
      <c r="FA87" s="434"/>
      <c r="FB87" s="434"/>
      <c r="FC87" s="399"/>
      <c r="FD87" s="399"/>
      <c r="FE87" s="399"/>
      <c r="FF87" s="399"/>
      <c r="FG87" s="415"/>
      <c r="FH87" s="415"/>
      <c r="FI87" s="415"/>
      <c r="FJ87" s="415"/>
      <c r="FK87" s="415"/>
      <c r="FL87" s="415"/>
      <c r="FM87" s="415"/>
    </row>
    <row r="88" spans="1:169" hidden="1">
      <c r="A88" s="410"/>
      <c r="B88" s="57"/>
      <c r="C88" s="412"/>
      <c r="D88" s="412"/>
      <c r="E88" s="412"/>
      <c r="F88" s="412"/>
      <c r="G88" s="412"/>
      <c r="H88" s="412"/>
      <c r="I88" s="412"/>
      <c r="J88" s="412"/>
      <c r="K88" s="412"/>
      <c r="L88" s="412"/>
      <c r="M88" s="413"/>
      <c r="N88" s="413"/>
      <c r="O88" s="413"/>
      <c r="P88" s="413"/>
      <c r="Q88" s="413"/>
      <c r="R88" s="413"/>
      <c r="S88" s="413"/>
      <c r="T88" s="413"/>
      <c r="U88" s="413"/>
      <c r="V88" s="413"/>
      <c r="W88" s="413"/>
      <c r="X88" s="413"/>
      <c r="Y88" s="413"/>
      <c r="Z88" s="413"/>
      <c r="AA88" s="413"/>
      <c r="AB88" s="413"/>
      <c r="AC88" s="413"/>
      <c r="AD88" s="413"/>
      <c r="AE88" s="413"/>
      <c r="AF88" s="413"/>
      <c r="AG88" s="413"/>
      <c r="AH88" s="413"/>
      <c r="AI88" s="413"/>
      <c r="AJ88" s="413"/>
      <c r="AK88" s="413"/>
      <c r="AL88" s="413"/>
      <c r="AM88" s="413"/>
      <c r="AN88" s="413"/>
      <c r="AO88" s="414"/>
      <c r="AP88" s="413"/>
      <c r="AQ88" s="413"/>
      <c r="AR88" s="413"/>
      <c r="AS88" s="413"/>
      <c r="AT88" s="413"/>
      <c r="AU88" s="413"/>
      <c r="AV88" s="413"/>
      <c r="AW88" s="413"/>
      <c r="AX88" s="413"/>
      <c r="AY88" s="414"/>
      <c r="AZ88" s="413"/>
      <c r="BA88" s="413"/>
      <c r="BB88" s="413"/>
      <c r="BC88" s="413"/>
      <c r="BD88" s="413"/>
      <c r="BE88" s="413"/>
      <c r="BF88" s="413"/>
      <c r="BG88" s="413"/>
      <c r="BH88" s="413"/>
      <c r="BI88" s="414"/>
      <c r="BJ88" s="413"/>
      <c r="BK88" s="413"/>
      <c r="BL88" s="413"/>
      <c r="BM88" s="413"/>
      <c r="BN88" s="413"/>
      <c r="BO88" s="413"/>
      <c r="BP88" s="413"/>
      <c r="BQ88" s="413"/>
      <c r="BR88" s="413"/>
      <c r="BS88" s="413"/>
      <c r="BT88" s="413"/>
      <c r="BU88" s="413"/>
      <c r="BV88" s="413"/>
      <c r="BW88" s="413"/>
      <c r="BX88" s="413"/>
      <c r="BY88" s="413"/>
      <c r="BZ88" s="413"/>
      <c r="CA88" s="413"/>
      <c r="CB88" s="413"/>
      <c r="CC88" s="413"/>
      <c r="CD88" s="413"/>
      <c r="CE88" s="413"/>
      <c r="CF88" s="413"/>
      <c r="CG88" s="413"/>
      <c r="CH88" s="413"/>
      <c r="CI88" s="413"/>
      <c r="CJ88" s="413"/>
      <c r="CK88" s="413"/>
      <c r="CL88" s="413"/>
      <c r="CM88" s="414"/>
      <c r="CN88" s="413"/>
      <c r="CO88" s="413"/>
      <c r="CP88" s="413"/>
      <c r="CQ88" s="413"/>
      <c r="CR88" s="413"/>
      <c r="CS88" s="413"/>
      <c r="CT88" s="413"/>
      <c r="CU88" s="413"/>
      <c r="CV88" s="413"/>
      <c r="CW88" s="414"/>
      <c r="CX88" s="413"/>
      <c r="CY88" s="413"/>
      <c r="CZ88" s="413"/>
      <c r="DA88" s="413"/>
      <c r="DB88" s="413"/>
      <c r="DC88" s="413"/>
      <c r="DD88" s="413"/>
      <c r="DE88" s="413"/>
      <c r="DF88" s="413"/>
      <c r="DG88" s="414"/>
      <c r="DH88" s="413"/>
      <c r="DI88" s="413"/>
      <c r="DJ88" s="413"/>
      <c r="DK88" s="413"/>
      <c r="DL88" s="413"/>
      <c r="DM88" s="413"/>
      <c r="DN88" s="413"/>
      <c r="DO88" s="413"/>
      <c r="DP88" s="413"/>
      <c r="DQ88" s="414"/>
      <c r="DR88" s="413"/>
      <c r="DS88" s="413"/>
      <c r="DT88" s="413"/>
      <c r="DU88" s="413"/>
      <c r="DV88" s="413"/>
      <c r="DW88" s="413"/>
      <c r="DX88" s="413"/>
      <c r="DY88" s="413"/>
      <c r="DZ88" s="413"/>
      <c r="EA88" s="413"/>
      <c r="EB88" s="413"/>
      <c r="EC88" s="413"/>
      <c r="ED88" s="413"/>
      <c r="EE88" s="413"/>
      <c r="EF88" s="413"/>
      <c r="EG88" s="413"/>
      <c r="EH88" s="413"/>
      <c r="EI88" s="413"/>
      <c r="EJ88" s="413"/>
      <c r="EK88" s="413"/>
      <c r="EL88" s="413"/>
      <c r="EM88" s="452"/>
      <c r="EN88" s="413"/>
      <c r="EO88" s="453"/>
      <c r="EP88" s="413"/>
      <c r="EQ88" s="434"/>
      <c r="ER88" s="434"/>
      <c r="ES88" s="434"/>
      <c r="ET88" s="434"/>
      <c r="EU88" s="434"/>
      <c r="EV88" s="434"/>
      <c r="EW88" s="434"/>
      <c r="EX88" s="434"/>
      <c r="EY88" s="434"/>
      <c r="EZ88" s="434"/>
      <c r="FA88" s="434"/>
      <c r="FB88" s="434"/>
      <c r="FC88" s="399"/>
      <c r="FD88" s="399"/>
      <c r="FE88" s="399"/>
      <c r="FF88" s="399"/>
      <c r="FG88" s="415"/>
      <c r="FH88" s="415"/>
      <c r="FI88" s="415"/>
      <c r="FJ88" s="415"/>
      <c r="FK88" s="415"/>
      <c r="FL88" s="415"/>
      <c r="FM88" s="415"/>
    </row>
    <row r="89" spans="1:169">
      <c r="A89" s="410" t="s">
        <v>33</v>
      </c>
      <c r="B89" s="406" t="s">
        <v>1228</v>
      </c>
      <c r="C89" s="412"/>
      <c r="D89" s="412"/>
      <c r="E89" s="412"/>
      <c r="F89" s="412"/>
      <c r="G89" s="412"/>
      <c r="H89" s="412"/>
      <c r="I89" s="412"/>
      <c r="J89" s="412"/>
      <c r="K89" s="412"/>
      <c r="L89" s="412"/>
      <c r="M89" s="413"/>
      <c r="N89" s="413"/>
      <c r="O89" s="413"/>
      <c r="P89" s="413"/>
      <c r="Q89" s="413"/>
      <c r="R89" s="413"/>
      <c r="S89" s="413"/>
      <c r="T89" s="413"/>
      <c r="U89" s="413"/>
      <c r="V89" s="413"/>
      <c r="W89" s="413"/>
      <c r="X89" s="413"/>
      <c r="Y89" s="413"/>
      <c r="Z89" s="413"/>
      <c r="AA89" s="413"/>
      <c r="AB89" s="413"/>
      <c r="AC89" s="413"/>
      <c r="AD89" s="413"/>
      <c r="AE89" s="413"/>
      <c r="AF89" s="413"/>
      <c r="AG89" s="413"/>
      <c r="AH89" s="413"/>
      <c r="AI89" s="413"/>
      <c r="AJ89" s="413"/>
      <c r="AK89" s="413"/>
      <c r="AL89" s="413"/>
      <c r="AM89" s="413"/>
      <c r="AN89" s="413"/>
      <c r="AO89" s="414"/>
      <c r="AP89" s="413"/>
      <c r="AQ89" s="413"/>
      <c r="AR89" s="413"/>
      <c r="AS89" s="413"/>
      <c r="AT89" s="413"/>
      <c r="AU89" s="413"/>
      <c r="AV89" s="413"/>
      <c r="AW89" s="413"/>
      <c r="AX89" s="413"/>
      <c r="AY89" s="414"/>
      <c r="AZ89" s="413"/>
      <c r="BA89" s="413"/>
      <c r="BB89" s="413"/>
      <c r="BC89" s="413"/>
      <c r="BD89" s="413"/>
      <c r="BE89" s="413"/>
      <c r="BF89" s="413"/>
      <c r="BG89" s="413"/>
      <c r="BH89" s="413"/>
      <c r="BI89" s="414"/>
      <c r="BJ89" s="413"/>
      <c r="BK89" s="413"/>
      <c r="BL89" s="413"/>
      <c r="BM89" s="413"/>
      <c r="BN89" s="413"/>
      <c r="BO89" s="413"/>
      <c r="BP89" s="413"/>
      <c r="BQ89" s="413"/>
      <c r="BR89" s="413"/>
      <c r="BS89" s="413"/>
      <c r="BT89" s="413"/>
      <c r="BU89" s="413"/>
      <c r="BV89" s="413"/>
      <c r="BW89" s="413"/>
      <c r="BX89" s="413"/>
      <c r="BY89" s="413"/>
      <c r="BZ89" s="413"/>
      <c r="CA89" s="413"/>
      <c r="CB89" s="413"/>
      <c r="CC89" s="413"/>
      <c r="CD89" s="413"/>
      <c r="CE89" s="413"/>
      <c r="CF89" s="413"/>
      <c r="CG89" s="413"/>
      <c r="CH89" s="413"/>
      <c r="CI89" s="413"/>
      <c r="CJ89" s="413"/>
      <c r="CK89" s="413"/>
      <c r="CL89" s="413"/>
      <c r="CM89" s="414"/>
      <c r="CN89" s="413"/>
      <c r="CO89" s="413"/>
      <c r="CP89" s="413"/>
      <c r="CQ89" s="413"/>
      <c r="CR89" s="413"/>
      <c r="CS89" s="413"/>
      <c r="CT89" s="413"/>
      <c r="CU89" s="413"/>
      <c r="CV89" s="413"/>
      <c r="CW89" s="414"/>
      <c r="CX89" s="413"/>
      <c r="CY89" s="413"/>
      <c r="CZ89" s="413"/>
      <c r="DA89" s="413"/>
      <c r="DB89" s="413"/>
      <c r="DC89" s="413"/>
      <c r="DD89" s="413"/>
      <c r="DE89" s="413"/>
      <c r="DF89" s="413"/>
      <c r="DG89" s="414"/>
      <c r="DH89" s="413"/>
      <c r="DI89" s="413"/>
      <c r="DJ89" s="413"/>
      <c r="DK89" s="413"/>
      <c r="DL89" s="413"/>
      <c r="DM89" s="413"/>
      <c r="DN89" s="413"/>
      <c r="DO89" s="413"/>
      <c r="DP89" s="413"/>
      <c r="DQ89" s="414"/>
      <c r="DR89" s="413"/>
      <c r="DS89" s="413"/>
      <c r="DT89" s="413"/>
      <c r="DU89" s="413"/>
      <c r="DV89" s="413"/>
      <c r="DW89" s="413"/>
      <c r="DX89" s="413"/>
      <c r="DY89" s="413"/>
      <c r="DZ89" s="413"/>
      <c r="EA89" s="413"/>
      <c r="EB89" s="413"/>
      <c r="EC89" s="413"/>
      <c r="ED89" s="413"/>
      <c r="EE89" s="413"/>
      <c r="EF89" s="413"/>
      <c r="EG89" s="413"/>
      <c r="EH89" s="413"/>
      <c r="EI89" s="413"/>
      <c r="EJ89" s="413"/>
      <c r="EK89" s="413"/>
      <c r="EL89" s="413"/>
      <c r="EM89" s="452"/>
      <c r="EN89" s="413"/>
      <c r="EO89" s="453"/>
      <c r="EP89" s="413"/>
      <c r="EQ89" s="434"/>
      <c r="ER89" s="434"/>
      <c r="ES89" s="434"/>
      <c r="ET89" s="434"/>
      <c r="EU89" s="434"/>
      <c r="EV89" s="434"/>
      <c r="EW89" s="434"/>
      <c r="EX89" s="434"/>
      <c r="EY89" s="434"/>
      <c r="EZ89" s="434"/>
      <c r="FA89" s="434"/>
      <c r="FB89" s="434"/>
      <c r="FC89" s="399"/>
      <c r="FD89" s="399"/>
      <c r="FE89" s="399"/>
      <c r="FF89" s="399"/>
      <c r="FG89" s="415"/>
      <c r="FH89" s="415"/>
      <c r="FI89" s="415"/>
      <c r="FJ89" s="415"/>
      <c r="FK89" s="415"/>
      <c r="FL89" s="415"/>
      <c r="FM89" s="415"/>
    </row>
    <row r="90" spans="1:169" hidden="1">
      <c r="A90" s="410"/>
      <c r="B90" s="411" t="s">
        <v>1198</v>
      </c>
      <c r="C90" s="412"/>
      <c r="D90" s="412"/>
      <c r="E90" s="412"/>
      <c r="F90" s="412"/>
      <c r="G90" s="412"/>
      <c r="H90" s="412"/>
      <c r="I90" s="412"/>
      <c r="J90" s="412"/>
      <c r="K90" s="412"/>
      <c r="L90" s="412"/>
      <c r="M90" s="413"/>
      <c r="N90" s="413"/>
      <c r="O90" s="413"/>
      <c r="P90" s="413"/>
      <c r="Q90" s="413"/>
      <c r="R90" s="413"/>
      <c r="S90" s="413"/>
      <c r="T90" s="413"/>
      <c r="U90" s="413"/>
      <c r="V90" s="413"/>
      <c r="W90" s="413"/>
      <c r="X90" s="413"/>
      <c r="Y90" s="413"/>
      <c r="Z90" s="413"/>
      <c r="AA90" s="413"/>
      <c r="AB90" s="413"/>
      <c r="AC90" s="413"/>
      <c r="AD90" s="413"/>
      <c r="AE90" s="413"/>
      <c r="AF90" s="413"/>
      <c r="AG90" s="413"/>
      <c r="AH90" s="413"/>
      <c r="AI90" s="413"/>
      <c r="AJ90" s="413"/>
      <c r="AK90" s="413"/>
      <c r="AL90" s="413"/>
      <c r="AM90" s="413"/>
      <c r="AN90" s="413"/>
      <c r="AO90" s="414"/>
      <c r="AP90" s="413"/>
      <c r="AQ90" s="413"/>
      <c r="AR90" s="413"/>
      <c r="AS90" s="413"/>
      <c r="AT90" s="413"/>
      <c r="AU90" s="413"/>
      <c r="AV90" s="413"/>
      <c r="AW90" s="413"/>
      <c r="AX90" s="413"/>
      <c r="AY90" s="414"/>
      <c r="AZ90" s="413"/>
      <c r="BA90" s="413"/>
      <c r="BB90" s="413"/>
      <c r="BC90" s="413"/>
      <c r="BD90" s="413"/>
      <c r="BE90" s="413"/>
      <c r="BF90" s="413"/>
      <c r="BG90" s="413"/>
      <c r="BH90" s="413"/>
      <c r="BI90" s="414"/>
      <c r="BJ90" s="413"/>
      <c r="BK90" s="413"/>
      <c r="BL90" s="413"/>
      <c r="BM90" s="413"/>
      <c r="BN90" s="413"/>
      <c r="BO90" s="413"/>
      <c r="BP90" s="413"/>
      <c r="BQ90" s="413"/>
      <c r="BR90" s="413"/>
      <c r="BS90" s="413"/>
      <c r="BT90" s="413"/>
      <c r="BU90" s="413"/>
      <c r="BV90" s="413"/>
      <c r="BW90" s="413"/>
      <c r="BX90" s="413"/>
      <c r="BY90" s="413"/>
      <c r="BZ90" s="413"/>
      <c r="CA90" s="413"/>
      <c r="CB90" s="413"/>
      <c r="CC90" s="413"/>
      <c r="CD90" s="413"/>
      <c r="CE90" s="413"/>
      <c r="CF90" s="413"/>
      <c r="CG90" s="413"/>
      <c r="CH90" s="413"/>
      <c r="CI90" s="413"/>
      <c r="CJ90" s="413"/>
      <c r="CK90" s="413"/>
      <c r="CL90" s="413"/>
      <c r="CM90" s="414"/>
      <c r="CN90" s="413"/>
      <c r="CO90" s="413"/>
      <c r="CP90" s="413"/>
      <c r="CQ90" s="413"/>
      <c r="CR90" s="413"/>
      <c r="CS90" s="413"/>
      <c r="CT90" s="413"/>
      <c r="CU90" s="413"/>
      <c r="CV90" s="413"/>
      <c r="CW90" s="414"/>
      <c r="CX90" s="413"/>
      <c r="CY90" s="413"/>
      <c r="CZ90" s="413"/>
      <c r="DA90" s="413"/>
      <c r="DB90" s="413"/>
      <c r="DC90" s="413"/>
      <c r="DD90" s="413"/>
      <c r="DE90" s="413"/>
      <c r="DF90" s="413"/>
      <c r="DG90" s="414"/>
      <c r="DH90" s="413"/>
      <c r="DI90" s="413"/>
      <c r="DJ90" s="413"/>
      <c r="DK90" s="413"/>
      <c r="DL90" s="413"/>
      <c r="DM90" s="413"/>
      <c r="DN90" s="413"/>
      <c r="DO90" s="413"/>
      <c r="DP90" s="413"/>
      <c r="DQ90" s="414"/>
      <c r="DR90" s="413"/>
      <c r="DS90" s="413"/>
      <c r="DT90" s="413"/>
      <c r="DU90" s="413"/>
      <c r="DV90" s="413"/>
      <c r="DW90" s="413"/>
      <c r="DX90" s="413"/>
      <c r="DY90" s="413"/>
      <c r="DZ90" s="413"/>
      <c r="EA90" s="413"/>
      <c r="EB90" s="413"/>
      <c r="EC90" s="413"/>
      <c r="ED90" s="413"/>
      <c r="EE90" s="413"/>
      <c r="EF90" s="413"/>
      <c r="EG90" s="413"/>
      <c r="EH90" s="413"/>
      <c r="EI90" s="413"/>
      <c r="EJ90" s="413"/>
      <c r="EK90" s="413"/>
      <c r="EL90" s="413"/>
      <c r="EM90" s="452"/>
      <c r="EN90" s="413"/>
      <c r="EO90" s="453"/>
      <c r="EP90" s="413"/>
      <c r="EQ90" s="434"/>
      <c r="ER90" s="434"/>
      <c r="ES90" s="434"/>
      <c r="ET90" s="434"/>
      <c r="EU90" s="434"/>
      <c r="EV90" s="434"/>
      <c r="EW90" s="434"/>
      <c r="EX90" s="434"/>
      <c r="EY90" s="434"/>
      <c r="EZ90" s="434"/>
      <c r="FA90" s="434"/>
      <c r="FB90" s="434"/>
      <c r="FC90" s="399"/>
      <c r="FD90" s="399"/>
      <c r="FE90" s="399"/>
      <c r="FF90" s="399"/>
      <c r="FG90" s="415"/>
      <c r="FH90" s="415"/>
      <c r="FI90" s="415"/>
      <c r="FJ90" s="415"/>
      <c r="FK90" s="415"/>
      <c r="FL90" s="415"/>
      <c r="FM90" s="415"/>
    </row>
    <row r="91" spans="1:169" hidden="1">
      <c r="A91" s="410"/>
      <c r="B91" s="416" t="s">
        <v>1199</v>
      </c>
      <c r="C91" s="412"/>
      <c r="D91" s="412"/>
      <c r="E91" s="412"/>
      <c r="F91" s="412"/>
      <c r="G91" s="412"/>
      <c r="H91" s="412"/>
      <c r="I91" s="412"/>
      <c r="J91" s="412"/>
      <c r="K91" s="412"/>
      <c r="L91" s="412"/>
      <c r="M91" s="413"/>
      <c r="N91" s="413"/>
      <c r="O91" s="413"/>
      <c r="P91" s="413"/>
      <c r="Q91" s="413"/>
      <c r="R91" s="413"/>
      <c r="S91" s="413"/>
      <c r="T91" s="413"/>
      <c r="U91" s="413"/>
      <c r="V91" s="413"/>
      <c r="W91" s="413"/>
      <c r="X91" s="413"/>
      <c r="Y91" s="413"/>
      <c r="Z91" s="413"/>
      <c r="AA91" s="413"/>
      <c r="AB91" s="413"/>
      <c r="AC91" s="413"/>
      <c r="AD91" s="413"/>
      <c r="AE91" s="413"/>
      <c r="AF91" s="413"/>
      <c r="AG91" s="413"/>
      <c r="AH91" s="413"/>
      <c r="AI91" s="413"/>
      <c r="AJ91" s="413"/>
      <c r="AK91" s="413"/>
      <c r="AL91" s="413"/>
      <c r="AM91" s="413"/>
      <c r="AN91" s="413"/>
      <c r="AO91" s="414"/>
      <c r="AP91" s="413"/>
      <c r="AQ91" s="413"/>
      <c r="AR91" s="413"/>
      <c r="AS91" s="413"/>
      <c r="AT91" s="413"/>
      <c r="AU91" s="413"/>
      <c r="AV91" s="413"/>
      <c r="AW91" s="413"/>
      <c r="AX91" s="413"/>
      <c r="AY91" s="414"/>
      <c r="AZ91" s="413"/>
      <c r="BA91" s="413"/>
      <c r="BB91" s="413"/>
      <c r="BC91" s="413"/>
      <c r="BD91" s="413"/>
      <c r="BE91" s="413"/>
      <c r="BF91" s="413"/>
      <c r="BG91" s="413"/>
      <c r="BH91" s="413"/>
      <c r="BI91" s="414"/>
      <c r="BJ91" s="413"/>
      <c r="BK91" s="413"/>
      <c r="BL91" s="413"/>
      <c r="BM91" s="413"/>
      <c r="BN91" s="413"/>
      <c r="BO91" s="413"/>
      <c r="BP91" s="413"/>
      <c r="BQ91" s="413"/>
      <c r="BR91" s="413"/>
      <c r="BS91" s="413"/>
      <c r="BT91" s="413"/>
      <c r="BU91" s="413"/>
      <c r="BV91" s="413"/>
      <c r="BW91" s="413"/>
      <c r="BX91" s="413"/>
      <c r="BY91" s="413"/>
      <c r="BZ91" s="413"/>
      <c r="CA91" s="413"/>
      <c r="CB91" s="413"/>
      <c r="CC91" s="413"/>
      <c r="CD91" s="413"/>
      <c r="CE91" s="413"/>
      <c r="CF91" s="413"/>
      <c r="CG91" s="413"/>
      <c r="CH91" s="413"/>
      <c r="CI91" s="413"/>
      <c r="CJ91" s="413"/>
      <c r="CK91" s="413"/>
      <c r="CL91" s="413"/>
      <c r="CM91" s="414"/>
      <c r="CN91" s="413"/>
      <c r="CO91" s="413"/>
      <c r="CP91" s="413"/>
      <c r="CQ91" s="413"/>
      <c r="CR91" s="413"/>
      <c r="CS91" s="413"/>
      <c r="CT91" s="413"/>
      <c r="CU91" s="413"/>
      <c r="CV91" s="413"/>
      <c r="CW91" s="414"/>
      <c r="CX91" s="413"/>
      <c r="CY91" s="413"/>
      <c r="CZ91" s="413"/>
      <c r="DA91" s="413"/>
      <c r="DB91" s="413"/>
      <c r="DC91" s="413"/>
      <c r="DD91" s="413"/>
      <c r="DE91" s="413"/>
      <c r="DF91" s="413"/>
      <c r="DG91" s="414"/>
      <c r="DH91" s="413"/>
      <c r="DI91" s="413"/>
      <c r="DJ91" s="413"/>
      <c r="DK91" s="413"/>
      <c r="DL91" s="413"/>
      <c r="DM91" s="413"/>
      <c r="DN91" s="413"/>
      <c r="DO91" s="413"/>
      <c r="DP91" s="413"/>
      <c r="DQ91" s="414"/>
      <c r="DR91" s="413"/>
      <c r="DS91" s="413"/>
      <c r="DT91" s="413"/>
      <c r="DU91" s="413"/>
      <c r="DV91" s="413"/>
      <c r="DW91" s="413"/>
      <c r="DX91" s="413"/>
      <c r="DY91" s="413"/>
      <c r="DZ91" s="413"/>
      <c r="EA91" s="413"/>
      <c r="EB91" s="413"/>
      <c r="EC91" s="413"/>
      <c r="ED91" s="413"/>
      <c r="EE91" s="413"/>
      <c r="EF91" s="413"/>
      <c r="EG91" s="413"/>
      <c r="EH91" s="413"/>
      <c r="EI91" s="413"/>
      <c r="EJ91" s="413"/>
      <c r="EK91" s="413"/>
      <c r="EL91" s="413"/>
      <c r="EM91" s="452"/>
      <c r="EN91" s="413"/>
      <c r="EO91" s="453"/>
      <c r="EP91" s="413"/>
      <c r="EQ91" s="434"/>
      <c r="ER91" s="434"/>
      <c r="ES91" s="434"/>
      <c r="ET91" s="434"/>
      <c r="EU91" s="434"/>
      <c r="EV91" s="434"/>
      <c r="EW91" s="434"/>
      <c r="EX91" s="434"/>
      <c r="EY91" s="434"/>
      <c r="EZ91" s="434"/>
      <c r="FA91" s="434"/>
      <c r="FB91" s="434"/>
      <c r="FC91" s="399"/>
      <c r="FD91" s="399"/>
      <c r="FE91" s="399"/>
      <c r="FF91" s="399"/>
      <c r="FG91" s="415"/>
      <c r="FH91" s="415"/>
      <c r="FI91" s="415"/>
      <c r="FJ91" s="415"/>
      <c r="FK91" s="415"/>
      <c r="FL91" s="415"/>
      <c r="FM91" s="415"/>
    </row>
    <row r="92" spans="1:169" hidden="1">
      <c r="A92" s="410"/>
      <c r="B92" s="416" t="s">
        <v>672</v>
      </c>
      <c r="C92" s="412"/>
      <c r="D92" s="412"/>
      <c r="E92" s="412"/>
      <c r="F92" s="412"/>
      <c r="G92" s="412"/>
      <c r="H92" s="412"/>
      <c r="I92" s="412"/>
      <c r="J92" s="412"/>
      <c r="K92" s="412"/>
      <c r="L92" s="412"/>
      <c r="M92" s="413"/>
      <c r="N92" s="413"/>
      <c r="O92" s="413"/>
      <c r="P92" s="413"/>
      <c r="Q92" s="413"/>
      <c r="R92" s="413"/>
      <c r="S92" s="413"/>
      <c r="T92" s="413"/>
      <c r="U92" s="413"/>
      <c r="V92" s="413"/>
      <c r="W92" s="413"/>
      <c r="X92" s="413"/>
      <c r="Y92" s="413"/>
      <c r="Z92" s="413"/>
      <c r="AA92" s="413"/>
      <c r="AB92" s="413"/>
      <c r="AC92" s="413"/>
      <c r="AD92" s="413"/>
      <c r="AE92" s="413"/>
      <c r="AF92" s="413"/>
      <c r="AG92" s="413"/>
      <c r="AH92" s="413"/>
      <c r="AI92" s="413"/>
      <c r="AJ92" s="413"/>
      <c r="AK92" s="413"/>
      <c r="AL92" s="413"/>
      <c r="AM92" s="413"/>
      <c r="AN92" s="413"/>
      <c r="AO92" s="414"/>
      <c r="AP92" s="413"/>
      <c r="AQ92" s="413"/>
      <c r="AR92" s="413"/>
      <c r="AS92" s="413"/>
      <c r="AT92" s="413"/>
      <c r="AU92" s="413"/>
      <c r="AV92" s="413"/>
      <c r="AW92" s="413"/>
      <c r="AX92" s="413"/>
      <c r="AY92" s="414"/>
      <c r="AZ92" s="413"/>
      <c r="BA92" s="413"/>
      <c r="BB92" s="413"/>
      <c r="BC92" s="413"/>
      <c r="BD92" s="413"/>
      <c r="BE92" s="413"/>
      <c r="BF92" s="413"/>
      <c r="BG92" s="413"/>
      <c r="BH92" s="413"/>
      <c r="BI92" s="414"/>
      <c r="BJ92" s="413"/>
      <c r="BK92" s="413"/>
      <c r="BL92" s="413"/>
      <c r="BM92" s="413"/>
      <c r="BN92" s="413"/>
      <c r="BO92" s="413"/>
      <c r="BP92" s="413"/>
      <c r="BQ92" s="413"/>
      <c r="BR92" s="413"/>
      <c r="BS92" s="413"/>
      <c r="BT92" s="413"/>
      <c r="BU92" s="413"/>
      <c r="BV92" s="413"/>
      <c r="BW92" s="413"/>
      <c r="BX92" s="413"/>
      <c r="BY92" s="413"/>
      <c r="BZ92" s="413"/>
      <c r="CA92" s="413"/>
      <c r="CB92" s="413"/>
      <c r="CC92" s="413"/>
      <c r="CD92" s="413"/>
      <c r="CE92" s="413"/>
      <c r="CF92" s="413"/>
      <c r="CG92" s="413"/>
      <c r="CH92" s="413"/>
      <c r="CI92" s="413"/>
      <c r="CJ92" s="413"/>
      <c r="CK92" s="413"/>
      <c r="CL92" s="413"/>
      <c r="CM92" s="414"/>
      <c r="CN92" s="413"/>
      <c r="CO92" s="413"/>
      <c r="CP92" s="413"/>
      <c r="CQ92" s="413"/>
      <c r="CR92" s="413"/>
      <c r="CS92" s="413"/>
      <c r="CT92" s="413"/>
      <c r="CU92" s="413"/>
      <c r="CV92" s="413"/>
      <c r="CW92" s="414"/>
      <c r="CX92" s="413"/>
      <c r="CY92" s="413"/>
      <c r="CZ92" s="413"/>
      <c r="DA92" s="413"/>
      <c r="DB92" s="413"/>
      <c r="DC92" s="413"/>
      <c r="DD92" s="413"/>
      <c r="DE92" s="413"/>
      <c r="DF92" s="413"/>
      <c r="DG92" s="414"/>
      <c r="DH92" s="413"/>
      <c r="DI92" s="413"/>
      <c r="DJ92" s="413"/>
      <c r="DK92" s="413"/>
      <c r="DL92" s="413"/>
      <c r="DM92" s="413"/>
      <c r="DN92" s="413"/>
      <c r="DO92" s="413"/>
      <c r="DP92" s="413"/>
      <c r="DQ92" s="414"/>
      <c r="DR92" s="413"/>
      <c r="DS92" s="413"/>
      <c r="DT92" s="413"/>
      <c r="DU92" s="413"/>
      <c r="DV92" s="413"/>
      <c r="DW92" s="413"/>
      <c r="DX92" s="413"/>
      <c r="DY92" s="413"/>
      <c r="DZ92" s="413"/>
      <c r="EA92" s="413"/>
      <c r="EB92" s="413"/>
      <c r="EC92" s="413"/>
      <c r="ED92" s="413"/>
      <c r="EE92" s="413"/>
      <c r="EF92" s="413"/>
      <c r="EG92" s="413"/>
      <c r="EH92" s="413"/>
      <c r="EI92" s="413"/>
      <c r="EJ92" s="413"/>
      <c r="EK92" s="413"/>
      <c r="EL92" s="413"/>
      <c r="EM92" s="452"/>
      <c r="EN92" s="413"/>
      <c r="EO92" s="453"/>
      <c r="EP92" s="413"/>
      <c r="EQ92" s="434"/>
      <c r="ER92" s="434"/>
      <c r="ES92" s="434"/>
      <c r="ET92" s="434"/>
      <c r="EU92" s="434"/>
      <c r="EV92" s="434"/>
      <c r="EW92" s="434"/>
      <c r="EX92" s="434"/>
      <c r="EY92" s="434"/>
      <c r="EZ92" s="434"/>
      <c r="FA92" s="434"/>
      <c r="FB92" s="434"/>
      <c r="FC92" s="399"/>
      <c r="FD92" s="399"/>
      <c r="FE92" s="399"/>
      <c r="FF92" s="399"/>
      <c r="FG92" s="415"/>
      <c r="FH92" s="415"/>
      <c r="FI92" s="415"/>
      <c r="FJ92" s="415"/>
      <c r="FK92" s="415"/>
      <c r="FL92" s="415"/>
      <c r="FM92" s="415"/>
    </row>
    <row r="93" spans="1:169" hidden="1">
      <c r="A93" s="410"/>
      <c r="B93" s="416"/>
      <c r="C93" s="412"/>
      <c r="D93" s="412"/>
      <c r="E93" s="412"/>
      <c r="F93" s="412"/>
      <c r="G93" s="412"/>
      <c r="H93" s="412"/>
      <c r="I93" s="412"/>
      <c r="J93" s="412"/>
      <c r="K93" s="412"/>
      <c r="L93" s="412"/>
      <c r="M93" s="413"/>
      <c r="N93" s="413"/>
      <c r="O93" s="413"/>
      <c r="P93" s="413"/>
      <c r="Q93" s="413"/>
      <c r="R93" s="413"/>
      <c r="S93" s="413"/>
      <c r="T93" s="413"/>
      <c r="U93" s="413"/>
      <c r="V93" s="413"/>
      <c r="W93" s="413"/>
      <c r="X93" s="413"/>
      <c r="Y93" s="413"/>
      <c r="Z93" s="413"/>
      <c r="AA93" s="413"/>
      <c r="AB93" s="413"/>
      <c r="AC93" s="413"/>
      <c r="AD93" s="413"/>
      <c r="AE93" s="413"/>
      <c r="AF93" s="413"/>
      <c r="AG93" s="413"/>
      <c r="AH93" s="413"/>
      <c r="AI93" s="413"/>
      <c r="AJ93" s="413"/>
      <c r="AK93" s="413"/>
      <c r="AL93" s="413"/>
      <c r="AM93" s="413"/>
      <c r="AN93" s="413"/>
      <c r="AO93" s="414"/>
      <c r="AP93" s="413"/>
      <c r="AQ93" s="413"/>
      <c r="AR93" s="413"/>
      <c r="AS93" s="413"/>
      <c r="AT93" s="413"/>
      <c r="AU93" s="413"/>
      <c r="AV93" s="413"/>
      <c r="AW93" s="413"/>
      <c r="AX93" s="413"/>
      <c r="AY93" s="414"/>
      <c r="AZ93" s="413"/>
      <c r="BA93" s="413"/>
      <c r="BB93" s="413"/>
      <c r="BC93" s="413"/>
      <c r="BD93" s="413"/>
      <c r="BE93" s="413"/>
      <c r="BF93" s="413"/>
      <c r="BG93" s="413"/>
      <c r="BH93" s="413"/>
      <c r="BI93" s="414"/>
      <c r="BJ93" s="413"/>
      <c r="BK93" s="413"/>
      <c r="BL93" s="413"/>
      <c r="BM93" s="413"/>
      <c r="BN93" s="413"/>
      <c r="BO93" s="413"/>
      <c r="BP93" s="413"/>
      <c r="BQ93" s="413"/>
      <c r="BR93" s="413"/>
      <c r="BS93" s="413"/>
      <c r="BT93" s="413"/>
      <c r="BU93" s="413"/>
      <c r="BV93" s="413"/>
      <c r="BW93" s="413"/>
      <c r="BX93" s="413"/>
      <c r="BY93" s="413"/>
      <c r="BZ93" s="413"/>
      <c r="CA93" s="413"/>
      <c r="CB93" s="413"/>
      <c r="CC93" s="413"/>
      <c r="CD93" s="413"/>
      <c r="CE93" s="413"/>
      <c r="CF93" s="413"/>
      <c r="CG93" s="413"/>
      <c r="CH93" s="413"/>
      <c r="CI93" s="413"/>
      <c r="CJ93" s="413"/>
      <c r="CK93" s="413"/>
      <c r="CL93" s="413"/>
      <c r="CM93" s="414"/>
      <c r="CN93" s="413"/>
      <c r="CO93" s="413"/>
      <c r="CP93" s="413"/>
      <c r="CQ93" s="413"/>
      <c r="CR93" s="413"/>
      <c r="CS93" s="413"/>
      <c r="CT93" s="413"/>
      <c r="CU93" s="413"/>
      <c r="CV93" s="413"/>
      <c r="CW93" s="414"/>
      <c r="CX93" s="413"/>
      <c r="CY93" s="413"/>
      <c r="CZ93" s="413"/>
      <c r="DA93" s="413"/>
      <c r="DB93" s="413"/>
      <c r="DC93" s="413"/>
      <c r="DD93" s="413"/>
      <c r="DE93" s="413"/>
      <c r="DF93" s="413"/>
      <c r="DG93" s="414"/>
      <c r="DH93" s="413"/>
      <c r="DI93" s="413"/>
      <c r="DJ93" s="413"/>
      <c r="DK93" s="413"/>
      <c r="DL93" s="413"/>
      <c r="DM93" s="413"/>
      <c r="DN93" s="413"/>
      <c r="DO93" s="413"/>
      <c r="DP93" s="413"/>
      <c r="DQ93" s="414"/>
      <c r="DR93" s="413"/>
      <c r="DS93" s="413"/>
      <c r="DT93" s="413"/>
      <c r="DU93" s="413"/>
      <c r="DV93" s="413"/>
      <c r="DW93" s="413"/>
      <c r="DX93" s="413"/>
      <c r="DY93" s="413"/>
      <c r="DZ93" s="413"/>
      <c r="EA93" s="413"/>
      <c r="EB93" s="413"/>
      <c r="EC93" s="413"/>
      <c r="ED93" s="413"/>
      <c r="EE93" s="413"/>
      <c r="EF93" s="413"/>
      <c r="EG93" s="413"/>
      <c r="EH93" s="413"/>
      <c r="EI93" s="413"/>
      <c r="EJ93" s="413"/>
      <c r="EK93" s="413"/>
      <c r="EL93" s="413"/>
      <c r="EM93" s="452"/>
      <c r="EN93" s="413"/>
      <c r="EO93" s="453"/>
      <c r="EP93" s="413"/>
      <c r="EQ93" s="434"/>
      <c r="ER93" s="434"/>
      <c r="ES93" s="434"/>
      <c r="ET93" s="434"/>
      <c r="EU93" s="434"/>
      <c r="EV93" s="434"/>
      <c r="EW93" s="434"/>
      <c r="EX93" s="434"/>
      <c r="EY93" s="434"/>
      <c r="EZ93" s="434"/>
      <c r="FA93" s="434"/>
      <c r="FB93" s="434"/>
      <c r="FC93" s="399"/>
      <c r="FD93" s="399"/>
      <c r="FE93" s="399"/>
      <c r="FF93" s="399"/>
      <c r="FG93" s="415"/>
      <c r="FH93" s="415"/>
      <c r="FI93" s="415"/>
      <c r="FJ93" s="415"/>
      <c r="FK93" s="415"/>
      <c r="FL93" s="415"/>
      <c r="FM93" s="415"/>
    </row>
    <row r="94" spans="1:169">
      <c r="A94" s="410" t="s">
        <v>39</v>
      </c>
      <c r="B94" s="406" t="s">
        <v>1200</v>
      </c>
      <c r="C94" s="412"/>
      <c r="D94" s="412"/>
      <c r="E94" s="412"/>
      <c r="F94" s="412"/>
      <c r="G94" s="412"/>
      <c r="H94" s="412"/>
      <c r="I94" s="412"/>
      <c r="J94" s="412"/>
      <c r="K94" s="412"/>
      <c r="L94" s="412"/>
      <c r="M94" s="413"/>
      <c r="N94" s="413"/>
      <c r="O94" s="413"/>
      <c r="P94" s="413"/>
      <c r="Q94" s="413"/>
      <c r="R94" s="413"/>
      <c r="S94" s="413"/>
      <c r="T94" s="413"/>
      <c r="U94" s="413"/>
      <c r="V94" s="413"/>
      <c r="W94" s="413"/>
      <c r="X94" s="413"/>
      <c r="Y94" s="413"/>
      <c r="Z94" s="413"/>
      <c r="AA94" s="413"/>
      <c r="AB94" s="413"/>
      <c r="AC94" s="413"/>
      <c r="AD94" s="413"/>
      <c r="AE94" s="413"/>
      <c r="AF94" s="413"/>
      <c r="AG94" s="413"/>
      <c r="AH94" s="413"/>
      <c r="AI94" s="413"/>
      <c r="AJ94" s="413"/>
      <c r="AK94" s="413"/>
      <c r="AL94" s="413"/>
      <c r="AM94" s="413"/>
      <c r="AN94" s="413"/>
      <c r="AO94" s="414"/>
      <c r="AP94" s="413"/>
      <c r="AQ94" s="413"/>
      <c r="AR94" s="413"/>
      <c r="AS94" s="413"/>
      <c r="AT94" s="413"/>
      <c r="AU94" s="413"/>
      <c r="AV94" s="413"/>
      <c r="AW94" s="413"/>
      <c r="AX94" s="413"/>
      <c r="AY94" s="414"/>
      <c r="AZ94" s="413"/>
      <c r="BA94" s="413"/>
      <c r="BB94" s="413"/>
      <c r="BC94" s="413"/>
      <c r="BD94" s="413"/>
      <c r="BE94" s="413"/>
      <c r="BF94" s="413"/>
      <c r="BG94" s="413"/>
      <c r="BH94" s="413"/>
      <c r="BI94" s="414"/>
      <c r="BJ94" s="413"/>
      <c r="BK94" s="413"/>
      <c r="BL94" s="413"/>
      <c r="BM94" s="413"/>
      <c r="BN94" s="413"/>
      <c r="BO94" s="413"/>
      <c r="BP94" s="413"/>
      <c r="BQ94" s="413"/>
      <c r="BR94" s="413"/>
      <c r="BS94" s="413"/>
      <c r="BT94" s="413"/>
      <c r="BU94" s="413"/>
      <c r="BV94" s="413"/>
      <c r="BW94" s="413"/>
      <c r="BX94" s="413"/>
      <c r="BY94" s="413"/>
      <c r="BZ94" s="413"/>
      <c r="CA94" s="413"/>
      <c r="CB94" s="413"/>
      <c r="CC94" s="413"/>
      <c r="CD94" s="413"/>
      <c r="CE94" s="413"/>
      <c r="CF94" s="413"/>
      <c r="CG94" s="413"/>
      <c r="CH94" s="413"/>
      <c r="CI94" s="413"/>
      <c r="CJ94" s="413"/>
      <c r="CK94" s="413"/>
      <c r="CL94" s="413"/>
      <c r="CM94" s="414"/>
      <c r="CN94" s="413"/>
      <c r="CO94" s="413"/>
      <c r="CP94" s="413"/>
      <c r="CQ94" s="413"/>
      <c r="CR94" s="413"/>
      <c r="CS94" s="413"/>
      <c r="CT94" s="413"/>
      <c r="CU94" s="413"/>
      <c r="CV94" s="413"/>
      <c r="CW94" s="414"/>
      <c r="CX94" s="413"/>
      <c r="CY94" s="413"/>
      <c r="CZ94" s="413"/>
      <c r="DA94" s="413"/>
      <c r="DB94" s="413"/>
      <c r="DC94" s="413"/>
      <c r="DD94" s="413"/>
      <c r="DE94" s="413"/>
      <c r="DF94" s="413"/>
      <c r="DG94" s="414"/>
      <c r="DH94" s="413"/>
      <c r="DI94" s="413"/>
      <c r="DJ94" s="413"/>
      <c r="DK94" s="413"/>
      <c r="DL94" s="413"/>
      <c r="DM94" s="413"/>
      <c r="DN94" s="413"/>
      <c r="DO94" s="413"/>
      <c r="DP94" s="413"/>
      <c r="DQ94" s="414"/>
      <c r="DR94" s="413"/>
      <c r="DS94" s="413"/>
      <c r="DT94" s="413"/>
      <c r="DU94" s="413"/>
      <c r="DV94" s="413"/>
      <c r="DW94" s="413"/>
      <c r="DX94" s="413"/>
      <c r="DY94" s="413"/>
      <c r="DZ94" s="413"/>
      <c r="EA94" s="413"/>
      <c r="EB94" s="413"/>
      <c r="EC94" s="413"/>
      <c r="ED94" s="413"/>
      <c r="EE94" s="413"/>
      <c r="EF94" s="413"/>
      <c r="EG94" s="413"/>
      <c r="EH94" s="413"/>
      <c r="EI94" s="413"/>
      <c r="EJ94" s="413"/>
      <c r="EK94" s="413"/>
      <c r="EL94" s="413"/>
      <c r="EM94" s="452"/>
      <c r="EN94" s="413"/>
      <c r="EO94" s="453"/>
      <c r="EP94" s="413"/>
      <c r="EQ94" s="434"/>
      <c r="ER94" s="434"/>
      <c r="ES94" s="434"/>
      <c r="ET94" s="434"/>
      <c r="EU94" s="434"/>
      <c r="EV94" s="434"/>
      <c r="EW94" s="434"/>
      <c r="EX94" s="434"/>
      <c r="EY94" s="434"/>
      <c r="EZ94" s="434"/>
      <c r="FA94" s="434"/>
      <c r="FB94" s="434"/>
      <c r="FC94" s="399"/>
      <c r="FD94" s="399"/>
      <c r="FE94" s="399"/>
      <c r="FF94" s="399"/>
      <c r="FG94" s="415"/>
      <c r="FH94" s="415"/>
      <c r="FI94" s="415"/>
      <c r="FJ94" s="415"/>
      <c r="FK94" s="415"/>
      <c r="FL94" s="415"/>
      <c r="FM94" s="415"/>
    </row>
    <row r="95" spans="1:169">
      <c r="A95" s="410" t="s">
        <v>15</v>
      </c>
      <c r="B95" s="411" t="str">
        <f>+F1_PP_Annual!B170</f>
        <v>DCM Sugars - Bagasse</v>
      </c>
      <c r="C95" s="917">
        <f>+F1_PP_Annual!C170</f>
        <v>7.5</v>
      </c>
      <c r="D95" s="800">
        <f>+F1_PP_Annual!H170</f>
        <v>0.66666666666666663</v>
      </c>
      <c r="E95" s="412"/>
      <c r="F95" s="800">
        <f>+F1_PP_Annual!E170</f>
        <v>0</v>
      </c>
      <c r="G95" s="802" t="str">
        <f>+F1_PP_Annual!I406</f>
        <v>5-6</v>
      </c>
      <c r="H95" s="412" t="str">
        <f>+F1_PP_Annual!F170</f>
        <v>NO</v>
      </c>
      <c r="I95" s="801" t="s">
        <v>2109</v>
      </c>
      <c r="J95" s="804">
        <f>+F1_PP_Annual!J406</f>
        <v>19.999047999999998</v>
      </c>
      <c r="K95" s="800">
        <v>0</v>
      </c>
      <c r="L95" s="805">
        <f>+'Energy Balance'!$I$17</f>
        <v>3.1800000000000057E-2</v>
      </c>
      <c r="M95" s="413">
        <f>+J95*(1-L95)</f>
        <v>19.363078273599996</v>
      </c>
      <c r="N95" s="413">
        <f>+[3]Data!$P$83</f>
        <v>1.516648</v>
      </c>
      <c r="O95" s="413"/>
      <c r="P95" s="413"/>
      <c r="Q95" s="413">
        <f>IFERROR(+R95/N95*10,0)</f>
        <v>5.45</v>
      </c>
      <c r="R95" s="413">
        <f>+[3]Data!P99</f>
        <v>0.82657316000000003</v>
      </c>
      <c r="S95" s="413">
        <f>IFERROR(+T95/N95*10,0)</f>
        <v>-3.7512507846250416</v>
      </c>
      <c r="T95" s="413">
        <f>-[3]Data!P107+[3]Data!P115+[3]Data!P123</f>
        <v>-0.56893269999999996</v>
      </c>
      <c r="U95" s="413"/>
      <c r="V95" s="413">
        <f t="shared" ref="V95" si="0">IFERROR(+W95/N95*10,0)</f>
        <v>1.698749215374959</v>
      </c>
      <c r="W95" s="807">
        <f t="shared" ref="W95" si="1">+P95+R95+T95+U95</f>
        <v>0.25764046000000007</v>
      </c>
      <c r="X95" s="413"/>
      <c r="Y95" s="413"/>
      <c r="Z95" s="413"/>
      <c r="AA95" s="413"/>
      <c r="AB95" s="413"/>
      <c r="AC95" s="413"/>
      <c r="AD95" s="413"/>
      <c r="AE95" s="413"/>
      <c r="AF95" s="413"/>
      <c r="AG95" s="413"/>
      <c r="AH95" s="413"/>
      <c r="AI95" s="413"/>
      <c r="AJ95" s="413"/>
      <c r="AK95" s="413"/>
      <c r="AL95" s="413"/>
      <c r="AM95" s="413"/>
      <c r="AN95" s="413"/>
      <c r="AO95" s="413"/>
      <c r="AP95" s="413"/>
      <c r="AQ95" s="807"/>
      <c r="AR95" s="413"/>
      <c r="AS95" s="413"/>
      <c r="AT95" s="413"/>
      <c r="AU95" s="413"/>
      <c r="AV95" s="413"/>
      <c r="AW95" s="413"/>
      <c r="AX95" s="413"/>
      <c r="AY95" s="413"/>
      <c r="AZ95" s="413"/>
      <c r="BA95" s="807"/>
      <c r="BB95" s="413"/>
      <c r="BC95" s="413"/>
      <c r="BD95" s="413"/>
      <c r="BE95" s="413"/>
      <c r="BF95" s="413"/>
      <c r="BG95" s="413"/>
      <c r="BH95" s="413"/>
      <c r="BI95" s="413"/>
      <c r="BJ95" s="413"/>
      <c r="BK95" s="807"/>
      <c r="BL95" s="413"/>
      <c r="BM95" s="413"/>
      <c r="BN95" s="413"/>
      <c r="BO95" s="413"/>
      <c r="BP95" s="413"/>
      <c r="BQ95" s="413"/>
      <c r="BR95" s="413"/>
      <c r="BS95" s="413"/>
      <c r="BT95" s="413"/>
      <c r="BU95" s="807"/>
      <c r="BV95" s="413"/>
      <c r="BW95" s="413"/>
      <c r="BX95" s="413"/>
      <c r="BY95" s="413"/>
      <c r="BZ95" s="413"/>
      <c r="CA95" s="413"/>
      <c r="CB95" s="413"/>
      <c r="CC95" s="413"/>
      <c r="CD95" s="413"/>
      <c r="CE95" s="807"/>
      <c r="CF95" s="413">
        <f>+[3]Data!W83</f>
        <v>3.6720000000000002</v>
      </c>
      <c r="CG95" s="413"/>
      <c r="CH95" s="413"/>
      <c r="CI95" s="413">
        <f>IFERROR(+CJ95/CF95*10,0)</f>
        <v>5.12</v>
      </c>
      <c r="CJ95" s="413">
        <f>+[3]Data!$W$99</f>
        <v>1.8800640000000002</v>
      </c>
      <c r="CK95" s="413">
        <f>IFERROR(+CL95/CF95*10,0)</f>
        <v>-5.1200000000000002E-2</v>
      </c>
      <c r="CL95" s="413">
        <f>-[3]Data!$W$107</f>
        <v>-1.8800640000000004E-2</v>
      </c>
      <c r="CM95" s="413"/>
      <c r="CN95" s="413">
        <f t="shared" ref="CN95" si="2">IFERROR(+CO95/CF95*10,0)</f>
        <v>5.0687999999999995</v>
      </c>
      <c r="CO95" s="807">
        <f t="shared" ref="CO95" si="3">+CH95+CJ95+CL95+CM95</f>
        <v>1.8612633600000001</v>
      </c>
      <c r="CP95" s="413">
        <f>+[3]Data!$X$83</f>
        <v>3.7943999999999996</v>
      </c>
      <c r="CQ95" s="413"/>
      <c r="CR95" s="413"/>
      <c r="CS95" s="413">
        <f>IFERROR(+CT95/CP95*10,0)</f>
        <v>5.12</v>
      </c>
      <c r="CT95" s="413">
        <f>+[3]Data!$X$99</f>
        <v>1.9427327999999999</v>
      </c>
      <c r="CU95" s="413">
        <f>IFERROR(+CV95/CP95*10,0)</f>
        <v>-5.1200000000000002E-2</v>
      </c>
      <c r="CV95" s="413">
        <f>-[3]Data!$X$107</f>
        <v>-1.9427328000000001E-2</v>
      </c>
      <c r="CW95" s="413"/>
      <c r="CX95" s="413">
        <f t="shared" ref="CX95:CX97" si="4">IFERROR(+CY95/CP95*10,0)</f>
        <v>5.0688000000000013</v>
      </c>
      <c r="CY95" s="807">
        <f t="shared" ref="CY95:CY97" si="5">+CR95+CT95+CV95+CW95</f>
        <v>1.923305472</v>
      </c>
      <c r="CZ95" s="413">
        <f>+[3]Data!$Y$83</f>
        <v>3.7943999999999996</v>
      </c>
      <c r="DA95" s="413"/>
      <c r="DB95" s="413"/>
      <c r="DC95" s="413">
        <f>IFERROR(+DD95/CZ95*10,0)</f>
        <v>5.12</v>
      </c>
      <c r="DD95" s="413">
        <f>+[3]Data!$X$99</f>
        <v>1.9427327999999999</v>
      </c>
      <c r="DE95" s="413">
        <f>IFERROR(+DF95/CZ95*10,0)</f>
        <v>-5.1200000000000002E-2</v>
      </c>
      <c r="DF95" s="413">
        <f>-[3]Data!$Y$107</f>
        <v>-1.9427328000000001E-2</v>
      </c>
      <c r="DG95" s="413"/>
      <c r="DH95" s="413">
        <f t="shared" ref="DH95:DH97" si="6">IFERROR(+DI95/CZ95*10,0)</f>
        <v>5.0688000000000013</v>
      </c>
      <c r="DI95" s="807">
        <f t="shared" ref="DI95:DI97" si="7">+DB95+DD95+DF95+DG95</f>
        <v>1.923305472</v>
      </c>
      <c r="DJ95" s="413">
        <f>+[3]Data!$Z$83</f>
        <v>3.4272</v>
      </c>
      <c r="DK95" s="413"/>
      <c r="DL95" s="413"/>
      <c r="DM95" s="413">
        <f>IFERROR(+DN95/DJ95*10,0)</f>
        <v>5.120000000000001</v>
      </c>
      <c r="DN95" s="413">
        <f>+[3]Data!$Z$99</f>
        <v>1.7547264000000002</v>
      </c>
      <c r="DO95" s="413">
        <f>IFERROR(+DP95/DJ95*10,0)</f>
        <v>-5.1200000000000009E-2</v>
      </c>
      <c r="DP95" s="413">
        <f>-[3]Data!$Z$107</f>
        <v>-1.7547264000000003E-2</v>
      </c>
      <c r="DQ95" s="413"/>
      <c r="DR95" s="413">
        <f t="shared" ref="DR95:DR97" si="8">IFERROR(+DS95/DJ95*10,0)</f>
        <v>5.0687999999999995</v>
      </c>
      <c r="DS95" s="807">
        <f t="shared" ref="DS95:DS97" si="9">+DL95+DN95+DP95+DQ95</f>
        <v>1.7371791360000002</v>
      </c>
      <c r="DT95" s="413">
        <f>+[3]Data!$AA$83</f>
        <v>3.7943999999999996</v>
      </c>
      <c r="DU95" s="413"/>
      <c r="DV95" s="413"/>
      <c r="DW95" s="413">
        <f>IFERROR(+DX95/DT95*10,0)</f>
        <v>5.12</v>
      </c>
      <c r="DX95" s="413">
        <f>+[3]Data!$AA$99</f>
        <v>1.9427327999999999</v>
      </c>
      <c r="DY95" s="413">
        <f>IFERROR(+DZ95/DT95*10,0)</f>
        <v>-5.1200000000000002E-2</v>
      </c>
      <c r="DZ95" s="413">
        <f>-[3]Data!$AA$107</f>
        <v>-1.9427328000000001E-2</v>
      </c>
      <c r="EA95" s="413"/>
      <c r="EB95" s="413">
        <f t="shared" ref="EB95:EB97" si="10">IFERROR(+EC95/DT95*10,0)</f>
        <v>5.0688000000000013</v>
      </c>
      <c r="EC95" s="807">
        <f t="shared" ref="EC95:EC97" si="11">+DV95+DX95+DZ95+EA95</f>
        <v>1.923305472</v>
      </c>
      <c r="ED95" s="413"/>
      <c r="EE95" s="413">
        <f t="shared" ref="EE95:EE98" si="12">N95+X95+AH95+AR95+BB95+BL95+BV95+CF95+CP95+CZ95+DJ95+DT95</f>
        <v>19.999047999999998</v>
      </c>
      <c r="EF95" s="413"/>
      <c r="EG95" s="413"/>
      <c r="EH95" s="413">
        <f>IFERROR(+EI95/EE95*10,0)</f>
        <v>5.1450258832320426</v>
      </c>
      <c r="EI95" s="413">
        <f t="shared" ref="EI95:EI98" si="13">R95+AB95+AL95+AV95+BF95+BP95+BZ95+CJ95+CT95+DD95+DN95+DX95</f>
        <v>10.28956196</v>
      </c>
      <c r="EJ95" s="413">
        <f>IFERROR(+EK95/EE95*10,0)</f>
        <v>-0.331797087541367</v>
      </c>
      <c r="EK95" s="413">
        <f t="shared" ref="EK95:EK98" si="14">T95+AD95+AN95+AX95+BH95+BR95+CB95+CL95+CV95+DF95+DP95+DZ95</f>
        <v>-0.66356258800000001</v>
      </c>
      <c r="EL95" s="413"/>
      <c r="EM95" s="413">
        <f t="shared" ref="EM95:EM98" si="15">IFERROR(+EN95/EE95*10,0)</f>
        <v>4.8132287956906756</v>
      </c>
      <c r="EN95" s="807">
        <f t="shared" ref="EN95:EN98" si="16">+EG95+EI95+EK95+EL95</f>
        <v>9.6259993720000008</v>
      </c>
      <c r="EO95" s="809">
        <f t="shared" ref="EO95:EO98" si="17">+EN95/EE95*10</f>
        <v>4.8132287956906756</v>
      </c>
      <c r="EP95" s="413">
        <f t="shared" ref="EP95:EP98" si="18">+EN95/M95*10</f>
        <v>4.9713166656586205</v>
      </c>
      <c r="EQ95" s="939"/>
      <c r="ER95" s="434"/>
      <c r="ES95" s="434"/>
      <c r="ET95" s="434"/>
      <c r="EU95" s="434"/>
      <c r="EV95" s="434"/>
      <c r="EW95" s="434"/>
      <c r="EX95" s="434"/>
      <c r="EY95" s="434"/>
      <c r="EZ95" s="434"/>
      <c r="FA95" s="434"/>
      <c r="FB95" s="434"/>
      <c r="FC95" s="399"/>
      <c r="FD95" s="399"/>
      <c r="FE95" s="399"/>
      <c r="FF95" s="399"/>
      <c r="FG95" s="415"/>
      <c r="FH95" s="415"/>
      <c r="FI95" s="415"/>
      <c r="FJ95" s="415"/>
      <c r="FK95" s="415"/>
      <c r="FL95" s="415"/>
      <c r="FM95" s="415"/>
    </row>
    <row r="96" spans="1:169" ht="42.75">
      <c r="A96" s="410" t="s">
        <v>16</v>
      </c>
      <c r="B96" s="411" t="str">
        <f>+F1_PP_Annual!B407</f>
        <v>Kreate Energy (I) Pvt. Ltd (KEIPL) - From Balrampur Chini Mills Ltd. - Bagasse</v>
      </c>
      <c r="C96" s="917"/>
      <c r="D96" s="800"/>
      <c r="E96" s="412"/>
      <c r="F96" s="800"/>
      <c r="G96" s="803">
        <f>+F1_PP_Annual!I407</f>
        <v>5</v>
      </c>
      <c r="H96" s="412" t="str">
        <f>+F1_PP_Annual!F169</f>
        <v>NO</v>
      </c>
      <c r="I96" s="801" t="s">
        <v>2109</v>
      </c>
      <c r="J96" s="804">
        <f>+F1_PP_Annual!J407</f>
        <v>11.040000000000001</v>
      </c>
      <c r="K96" s="800">
        <v>0</v>
      </c>
      <c r="L96" s="805">
        <f>+'Energy Balance'!$I$17</f>
        <v>3.1800000000000057E-2</v>
      </c>
      <c r="M96" s="413">
        <f>+J96*(1-L96)</f>
        <v>10.688928000000001</v>
      </c>
      <c r="N96" s="413"/>
      <c r="O96" s="413"/>
      <c r="P96" s="413"/>
      <c r="Q96" s="413"/>
      <c r="R96" s="413"/>
      <c r="S96" s="413"/>
      <c r="T96" s="413"/>
      <c r="U96" s="413"/>
      <c r="V96" s="413"/>
      <c r="W96" s="807"/>
      <c r="X96" s="413">
        <f>+[3]Data!Q86</f>
        <v>3.72</v>
      </c>
      <c r="Y96" s="413"/>
      <c r="Z96" s="413"/>
      <c r="AA96" s="413">
        <f>IFERROR(+AB96/X96*10,0)</f>
        <v>5.9499999999999993</v>
      </c>
      <c r="AB96" s="413">
        <f>+[3]Data!Q102</f>
        <v>2.2134</v>
      </c>
      <c r="AC96" s="413">
        <f>IFERROR(+AD96/X96*10,0)</f>
        <v>-4.9822580645161291E-2</v>
      </c>
      <c r="AD96" s="413">
        <f>+[3]Data!Q126-[3]Data!$Q$110</f>
        <v>-1.8534000000000002E-2</v>
      </c>
      <c r="AE96" s="413"/>
      <c r="AF96" s="413">
        <f>IFERROR(+AG96/X96*10,0)</f>
        <v>5.9001774193548382</v>
      </c>
      <c r="AG96" s="807">
        <f>+Z96+AB96+AD96+AE96</f>
        <v>2.1948660000000002</v>
      </c>
      <c r="AH96" s="413">
        <f>+[3]Data!R86</f>
        <v>3.6</v>
      </c>
      <c r="AI96" s="413"/>
      <c r="AJ96" s="413"/>
      <c r="AK96" s="413">
        <f>IFERROR(+AL96/AH96*10,0)</f>
        <v>5.9500000000000011</v>
      </c>
      <c r="AL96" s="413">
        <f>+[3]Data!R102</f>
        <v>2.1420000000000003</v>
      </c>
      <c r="AM96" s="413">
        <f>IFERROR(+AN96/AH96*10,0)</f>
        <v>-3.9833333333333346E-2</v>
      </c>
      <c r="AN96" s="413">
        <f>+[3]Data!R126-[3]Data!R110</f>
        <v>-1.4340000000000006E-2</v>
      </c>
      <c r="AO96" s="414"/>
      <c r="AP96" s="413">
        <f>IFERROR(+AQ96/AH96*10,0)</f>
        <v>5.9101666666666688</v>
      </c>
      <c r="AQ96" s="807">
        <f>+AJ96+AL96+AN96+AO96</f>
        <v>2.1276600000000006</v>
      </c>
      <c r="AR96" s="413">
        <f>+[3]Data!S86</f>
        <v>3.72</v>
      </c>
      <c r="AS96" s="413"/>
      <c r="AT96" s="413"/>
      <c r="AU96" s="413">
        <f>IFERROR(+AV96/AR96*10,0)</f>
        <v>5.9499999999999993</v>
      </c>
      <c r="AV96" s="413">
        <f>+[3]Data!S102</f>
        <v>2.2134</v>
      </c>
      <c r="AW96" s="413">
        <f>IFERROR(+AX96/AR96*10,0)</f>
        <v>-3.3172043010752689E-2</v>
      </c>
      <c r="AX96" s="413">
        <f>+[3]Data!S126-[3]Data!$S$110</f>
        <v>-1.234E-2</v>
      </c>
      <c r="AY96" s="414"/>
      <c r="AZ96" s="413">
        <f t="shared" ref="AZ96" si="19">IFERROR(+BA96/AR96*10,0)</f>
        <v>5.9168279569892466</v>
      </c>
      <c r="BA96" s="807">
        <f t="shared" ref="BA96" si="20">+AT96+AV96+AX96+AY96</f>
        <v>2.20106</v>
      </c>
      <c r="BB96" s="413"/>
      <c r="BC96" s="413"/>
      <c r="BD96" s="413"/>
      <c r="BE96" s="413"/>
      <c r="BF96" s="413"/>
      <c r="BG96" s="413"/>
      <c r="BH96" s="413"/>
      <c r="BI96" s="413"/>
      <c r="BJ96" s="413"/>
      <c r="BK96" s="807"/>
      <c r="BL96" s="413"/>
      <c r="BM96" s="413"/>
      <c r="BN96" s="413"/>
      <c r="BO96" s="413"/>
      <c r="BP96" s="413"/>
      <c r="BQ96" s="413"/>
      <c r="BR96" s="413"/>
      <c r="BS96" s="413"/>
      <c r="BT96" s="413"/>
      <c r="BU96" s="807"/>
      <c r="BV96" s="413"/>
      <c r="BW96" s="413"/>
      <c r="BX96" s="413"/>
      <c r="BY96" s="413"/>
      <c r="BZ96" s="413"/>
      <c r="CA96" s="413"/>
      <c r="CB96" s="413"/>
      <c r="CC96" s="413"/>
      <c r="CD96" s="413"/>
      <c r="CE96" s="807"/>
      <c r="CF96" s="413"/>
      <c r="CG96" s="413"/>
      <c r="CH96" s="413"/>
      <c r="CI96" s="413"/>
      <c r="CJ96" s="413"/>
      <c r="CK96" s="413"/>
      <c r="CL96" s="413"/>
      <c r="CM96" s="413"/>
      <c r="CN96" s="413"/>
      <c r="CO96" s="807"/>
      <c r="CP96" s="807"/>
      <c r="CQ96" s="807"/>
      <c r="CR96" s="807"/>
      <c r="CS96" s="807"/>
      <c r="CT96" s="807"/>
      <c r="CU96" s="807"/>
      <c r="CV96" s="807"/>
      <c r="CW96" s="807"/>
      <c r="CX96" s="807"/>
      <c r="CY96" s="807"/>
      <c r="CZ96" s="807"/>
      <c r="DA96" s="807"/>
      <c r="DB96" s="807"/>
      <c r="DC96" s="807"/>
      <c r="DD96" s="807"/>
      <c r="DE96" s="807"/>
      <c r="DF96" s="807"/>
      <c r="DG96" s="807"/>
      <c r="DH96" s="807"/>
      <c r="DI96" s="807"/>
      <c r="DJ96" s="807"/>
      <c r="DK96" s="807"/>
      <c r="DL96" s="807"/>
      <c r="DM96" s="807"/>
      <c r="DN96" s="807"/>
      <c r="DO96" s="807"/>
      <c r="DP96" s="807"/>
      <c r="DQ96" s="807"/>
      <c r="DR96" s="807"/>
      <c r="DS96" s="807"/>
      <c r="DT96" s="807"/>
      <c r="DU96" s="807"/>
      <c r="DV96" s="807"/>
      <c r="DW96" s="807"/>
      <c r="DX96" s="807"/>
      <c r="DY96" s="807"/>
      <c r="DZ96" s="807"/>
      <c r="EA96" s="807"/>
      <c r="EB96" s="807"/>
      <c r="EC96" s="807"/>
      <c r="ED96" s="413"/>
      <c r="EE96" s="413">
        <f t="shared" si="12"/>
        <v>11.040000000000001</v>
      </c>
      <c r="EF96" s="413"/>
      <c r="EG96" s="413"/>
      <c r="EH96" s="413">
        <f>IFERROR(+EI96/EE96*10,0)</f>
        <v>5.9499999999999993</v>
      </c>
      <c r="EI96" s="413">
        <f t="shared" ref="EI96" si="21">R96+AB96+AL96+AV96+BF96+BP96+BZ96+CJ96+CT96+DD96+DN96+DX96</f>
        <v>6.5688000000000004</v>
      </c>
      <c r="EJ96" s="413">
        <f>IFERROR(+EK96/EE96*10,0)</f>
        <v>-4.0954710144927541E-2</v>
      </c>
      <c r="EK96" s="413">
        <f t="shared" ref="EK96" si="22">T96+AD96+AN96+AX96+BH96+BR96+CB96+CL96+CV96+DF96+DP96+DZ96</f>
        <v>-4.5214000000000004E-2</v>
      </c>
      <c r="EL96" s="413"/>
      <c r="EM96" s="413">
        <f t="shared" ref="EM96" si="23">IFERROR(+EN96/EE96*10,0)</f>
        <v>5.9090452898550723</v>
      </c>
      <c r="EN96" s="807">
        <f t="shared" ref="EN96" si="24">+EG96+EI96+EK96+EL96</f>
        <v>6.5235860000000008</v>
      </c>
      <c r="EO96" s="809">
        <f t="shared" ref="EO96" si="25">+EN96/EE96*10</f>
        <v>5.9090452898550723</v>
      </c>
      <c r="EP96" s="413">
        <f t="shared" ref="EP96" si="26">+EN96/M96*10</f>
        <v>6.10312465384742</v>
      </c>
      <c r="EQ96" s="434"/>
      <c r="ER96" s="434"/>
      <c r="ES96" s="434"/>
      <c r="ET96" s="434"/>
      <c r="EU96" s="434"/>
      <c r="EV96" s="434"/>
      <c r="EW96" s="434"/>
      <c r="EX96" s="434"/>
      <c r="EY96" s="434"/>
      <c r="EZ96" s="434"/>
      <c r="FA96" s="434"/>
      <c r="FB96" s="434"/>
      <c r="FC96" s="399"/>
      <c r="FD96" s="399"/>
      <c r="FE96" s="399"/>
      <c r="FF96" s="399"/>
      <c r="FG96" s="415"/>
      <c r="FH96" s="415"/>
      <c r="FI96" s="415"/>
      <c r="FJ96" s="415"/>
      <c r="FK96" s="415"/>
      <c r="FL96" s="415"/>
      <c r="FM96" s="415"/>
    </row>
    <row r="97" spans="1:169">
      <c r="A97" s="410" t="s">
        <v>17</v>
      </c>
      <c r="B97" s="416" t="str">
        <f>+F1_PP_Annual!B229</f>
        <v>IEX Purchase</v>
      </c>
      <c r="C97" s="412"/>
      <c r="D97" s="412"/>
      <c r="E97" s="412"/>
      <c r="F97" s="412"/>
      <c r="G97" s="412"/>
      <c r="H97" s="412"/>
      <c r="I97" s="412"/>
      <c r="J97" s="804">
        <f>+F1_PP_Annual!J466</f>
        <v>32.323787953730054</v>
      </c>
      <c r="K97" s="800">
        <v>0</v>
      </c>
      <c r="L97" s="805">
        <f>+'Energy Balance'!$I$17</f>
        <v>3.1800000000000057E-2</v>
      </c>
      <c r="M97" s="413">
        <f t="shared" ref="M97:M98" si="27">+J97*(1-L97)</f>
        <v>31.295891496801438</v>
      </c>
      <c r="N97" s="413">
        <f>+[3]Data!$P$84</f>
        <v>2.6611238999999998</v>
      </c>
      <c r="O97" s="413"/>
      <c r="P97" s="413"/>
      <c r="Q97" s="413">
        <f>IFERROR(+R97/N97*10,0)</f>
        <v>8.8753725446605465</v>
      </c>
      <c r="R97" s="413">
        <f>+[3]Data!$P$100</f>
        <v>2.3618465999999998</v>
      </c>
      <c r="S97" s="413">
        <f>IFERROR(+T97/N97*10,0)</f>
        <v>4.4342166856642801E-3</v>
      </c>
      <c r="T97" s="413">
        <f>-[3]Data!P108+[3]Data!P116+[3]Data!P124</f>
        <v>1.1800000000000001E-3</v>
      </c>
      <c r="U97" s="413"/>
      <c r="V97" s="413">
        <f t="shared" ref="V97:V98" si="28">IFERROR(+W97/N97*10,0)</f>
        <v>8.8798067613462131</v>
      </c>
      <c r="W97" s="807">
        <f t="shared" ref="W97:W99" si="29">+P97+R97+T97+U97</f>
        <v>2.3630266</v>
      </c>
      <c r="X97" s="413">
        <f>+[3]Data!Q84</f>
        <v>0.73639969999999999</v>
      </c>
      <c r="Y97" s="413"/>
      <c r="Z97" s="413"/>
      <c r="AA97" s="413">
        <f>IFERROR(+AB97/X97*10,0)</f>
        <v>4.9896272364043606</v>
      </c>
      <c r="AB97" s="413">
        <f>+[3]Data!Q100</f>
        <v>0.36743599999999998</v>
      </c>
      <c r="AC97" s="413">
        <f>IFERROR(+AD97/X97*10,0)</f>
        <v>8.0119532911270882E-3</v>
      </c>
      <c r="AD97" s="413">
        <f>+[3]Data!Q124</f>
        <v>5.9000000000000003E-4</v>
      </c>
      <c r="AE97" s="413"/>
      <c r="AF97" s="413">
        <f t="shared" ref="AF97" si="30">IFERROR(+AG97/X97*10,0)</f>
        <v>4.9976391896954873</v>
      </c>
      <c r="AG97" s="807">
        <f t="shared" ref="AG97" si="31">+Z97+AB97+AD97+AE97</f>
        <v>0.36802599999999996</v>
      </c>
      <c r="AH97" s="413">
        <f>+[3]Data!R84</f>
        <v>0.88300280000000009</v>
      </c>
      <c r="AI97" s="413"/>
      <c r="AJ97" s="413"/>
      <c r="AK97" s="413">
        <f>IFERROR(+AL97/AH97*10,0)</f>
        <v>5.0387541239959823</v>
      </c>
      <c r="AL97" s="413">
        <f>+[3]Data!R100</f>
        <v>0.44492340000000002</v>
      </c>
      <c r="AM97" s="413">
        <f>IFERROR(+AN97/AH97*10,0)</f>
        <v>6.681745516548758E-3</v>
      </c>
      <c r="AN97" s="413">
        <f>+[3]Data!R124</f>
        <v>5.9000000000000003E-4</v>
      </c>
      <c r="AO97" s="413"/>
      <c r="AP97" s="413">
        <f t="shared" ref="AP97:AP98" si="32">IFERROR(+AQ97/AH97*10,0)</f>
        <v>5.0454358695125308</v>
      </c>
      <c r="AQ97" s="807">
        <f t="shared" ref="AQ97:AQ98" si="33">+AJ97+AL97+AN97+AO97</f>
        <v>0.4455134</v>
      </c>
      <c r="AR97" s="413">
        <f>+[3]Data!S84</f>
        <v>0.97443215000000005</v>
      </c>
      <c r="AS97" s="413"/>
      <c r="AT97" s="413"/>
      <c r="AU97" s="413">
        <f>IFERROR(+AV97/AR97*10,0)</f>
        <v>5.2645810177753276</v>
      </c>
      <c r="AV97" s="413">
        <f>+[3]Data!S100</f>
        <v>0.5129977</v>
      </c>
      <c r="AW97" s="413">
        <f>IFERROR(+AX97/AR97*10,0)</f>
        <v>6.0548084338145043E-3</v>
      </c>
      <c r="AX97" s="413">
        <f>+[3]Data!S124</f>
        <v>5.9000000000000003E-4</v>
      </c>
      <c r="AY97" s="413"/>
      <c r="AZ97" s="413">
        <f t="shared" ref="AZ97:AZ98" si="34">IFERROR(+BA97/AR97*10,0)</f>
        <v>5.2706358262091415</v>
      </c>
      <c r="BA97" s="807">
        <f t="shared" ref="BA97:BA98" si="35">+AT97+AV97+AX97+AY97</f>
        <v>0.51358769999999998</v>
      </c>
      <c r="BB97" s="413">
        <f>+[3]Data!T84</f>
        <v>4.8742694000000002</v>
      </c>
      <c r="BC97" s="413"/>
      <c r="BD97" s="413"/>
      <c r="BE97" s="413">
        <f>IFERROR(+BF97/BB97*10,0)</f>
        <v>5.0758000778537191</v>
      </c>
      <c r="BF97" s="413">
        <f>+[3]Data!T100</f>
        <v>2.4740817000000002</v>
      </c>
      <c r="BG97" s="413">
        <f>IFERROR(+BH97/BB97*10,0)</f>
        <v>8.9572398275729291E-3</v>
      </c>
      <c r="BH97" s="413">
        <f>+[3]Data!T124</f>
        <v>4.3660000000000001E-3</v>
      </c>
      <c r="BI97" s="413"/>
      <c r="BJ97" s="413">
        <f t="shared" ref="BJ97:BJ98" si="36">IFERROR(+BK97/BB97*10,0)</f>
        <v>5.0847573176812926</v>
      </c>
      <c r="BK97" s="807">
        <f t="shared" ref="BK97:BK98" si="37">+BD97+BF97+BH97+BI97</f>
        <v>2.4784477000000003</v>
      </c>
      <c r="BL97" s="413">
        <f>+[3]Data!U84</f>
        <v>4.9569989999999997</v>
      </c>
      <c r="BM97" s="413"/>
      <c r="BN97" s="413"/>
      <c r="BO97" s="413">
        <f>IFERROR(+BP97/BL97*10,0)</f>
        <v>5.0434284937317928</v>
      </c>
      <c r="BP97" s="413">
        <f>+[3]Data!U100</f>
        <v>2.5000270000000002</v>
      </c>
      <c r="BQ97" s="413">
        <f>IFERROR(+BR97/BL97*10,0)</f>
        <v>1.6663307779565821E-3</v>
      </c>
      <c r="BR97" s="413">
        <f>+[3]Data!U124</f>
        <v>8.2600000000000002E-4</v>
      </c>
      <c r="BS97" s="413"/>
      <c r="BT97" s="413">
        <f t="shared" ref="BT97:BT98" si="38">IFERROR(+BU97/BL97*10,0)</f>
        <v>5.0450948245097491</v>
      </c>
      <c r="BU97" s="807">
        <f t="shared" ref="BU97:BU98" si="39">+BN97+BP97+BR97+BS97</f>
        <v>2.5008530000000002</v>
      </c>
      <c r="BV97" s="413">
        <f>+[3]Data!$V$84</f>
        <v>5.0692588669308503</v>
      </c>
      <c r="BW97" s="413"/>
      <c r="BX97" s="413"/>
      <c r="BY97" s="413">
        <f>IFERROR(+BZ97/BV97*10,0)</f>
        <v>4.8205119607148559</v>
      </c>
      <c r="BZ97" s="413">
        <f>+[3]Data!$V$100</f>
        <v>2.4436423</v>
      </c>
      <c r="CA97" s="413">
        <f>IFERROR(+CB97/BV97*10,0)</f>
        <v>1.1638782226112902E-3</v>
      </c>
      <c r="CB97" s="413">
        <f>+[3]Data!J116-[3]Data!J108+[3]Data!J124</f>
        <v>5.9000000000000003E-4</v>
      </c>
      <c r="CC97" s="413"/>
      <c r="CD97" s="413">
        <f t="shared" ref="CD97" si="40">IFERROR(+CE97/BV97*10,0)</f>
        <v>4.8216758389374661</v>
      </c>
      <c r="CE97" s="807">
        <f t="shared" ref="CE97" si="41">+BX97+BZ97+CB97+CC97</f>
        <v>2.4442322999999999</v>
      </c>
      <c r="CF97" s="413">
        <f>+[3]Data!W84</f>
        <v>1.9197425119820815</v>
      </c>
      <c r="CG97" s="413"/>
      <c r="CH97" s="413"/>
      <c r="CI97" s="413">
        <f>IFERROR(+CJ97/CF97*10,0)</f>
        <v>5.9499999999999993</v>
      </c>
      <c r="CJ97" s="413">
        <f>+[3]Data!$W$100</f>
        <v>1.1422467946293384</v>
      </c>
      <c r="CK97" s="413"/>
      <c r="CL97" s="413"/>
      <c r="CM97" s="413"/>
      <c r="CN97" s="413">
        <f t="shared" ref="CN97" si="42">IFERROR(+CO97/CF97*10,0)</f>
        <v>5.9499999999999993</v>
      </c>
      <c r="CO97" s="807">
        <f t="shared" ref="CO97" si="43">+CH97+CJ97+CL97+CM97</f>
        <v>1.1422467946293384</v>
      </c>
      <c r="CP97" s="413">
        <f>+[3]Data!$X$84</f>
        <v>1.9837339290481513</v>
      </c>
      <c r="CQ97" s="413"/>
      <c r="CR97" s="413"/>
      <c r="CS97" s="413">
        <f>IFERROR(+CT97/CP97*10,0)</f>
        <v>5.9500000000000011</v>
      </c>
      <c r="CT97" s="413">
        <f>+[3]Data!$X$100</f>
        <v>1.1803216877836502</v>
      </c>
      <c r="CU97" s="413"/>
      <c r="CV97" s="413"/>
      <c r="CW97" s="413"/>
      <c r="CX97" s="413">
        <f t="shared" si="4"/>
        <v>5.9500000000000011</v>
      </c>
      <c r="CY97" s="807">
        <f t="shared" si="5"/>
        <v>1.1803216877836502</v>
      </c>
      <c r="CZ97" s="413">
        <f>+[3]Data!$Y$84</f>
        <v>2.8467732952093128</v>
      </c>
      <c r="DA97" s="413"/>
      <c r="DB97" s="413"/>
      <c r="DC97" s="413">
        <f>IFERROR(+DD97/CZ97*10,0)</f>
        <v>5.9500000000000011</v>
      </c>
      <c r="DD97" s="413">
        <f>+[3]Data!$Y$100</f>
        <v>1.6938301106495413</v>
      </c>
      <c r="DE97" s="413"/>
      <c r="DF97" s="413"/>
      <c r="DG97" s="413"/>
      <c r="DH97" s="413">
        <f t="shared" si="6"/>
        <v>5.9500000000000011</v>
      </c>
      <c r="DI97" s="807">
        <f t="shared" si="7"/>
        <v>1.6938301106495413</v>
      </c>
      <c r="DJ97" s="413">
        <f>+[3]Data!$Z$84</f>
        <v>2.5712791053503468</v>
      </c>
      <c r="DK97" s="413"/>
      <c r="DL97" s="413"/>
      <c r="DM97" s="413">
        <f>IFERROR(+DN97/DJ97*10,0)</f>
        <v>5.9500000000000011</v>
      </c>
      <c r="DN97" s="413">
        <f>+[3]Data!$Z$100</f>
        <v>1.5299110676834564</v>
      </c>
      <c r="DO97" s="413"/>
      <c r="DP97" s="413"/>
      <c r="DQ97" s="413"/>
      <c r="DR97" s="413">
        <f t="shared" si="8"/>
        <v>5.9500000000000011</v>
      </c>
      <c r="DS97" s="807">
        <f t="shared" si="9"/>
        <v>1.5299110676834564</v>
      </c>
      <c r="DT97" s="413">
        <f>+[3]Data!$AA$84</f>
        <v>2.8467732952093128</v>
      </c>
      <c r="DU97" s="413"/>
      <c r="DV97" s="413"/>
      <c r="DW97" s="413">
        <f>IFERROR(+DX97/DT97*10,0)</f>
        <v>5.9500000000000011</v>
      </c>
      <c r="DX97" s="413">
        <f>+[3]Data!$AA$100</f>
        <v>1.6938301106495413</v>
      </c>
      <c r="DY97" s="413"/>
      <c r="DZ97" s="413"/>
      <c r="EA97" s="413"/>
      <c r="EB97" s="413">
        <f t="shared" si="10"/>
        <v>5.9500000000000011</v>
      </c>
      <c r="EC97" s="807">
        <f t="shared" si="11"/>
        <v>1.6938301106495413</v>
      </c>
      <c r="ED97" s="413"/>
      <c r="EE97" s="413">
        <f t="shared" si="12"/>
        <v>32.323787953730054</v>
      </c>
      <c r="EF97" s="413"/>
      <c r="EG97" s="413"/>
      <c r="EH97" s="413">
        <f>IFERROR(+EI97/EE97*10,0)</f>
        <v>5.6754160427161713</v>
      </c>
      <c r="EI97" s="413">
        <f t="shared" si="13"/>
        <v>18.345094471395527</v>
      </c>
      <c r="EJ97" s="413">
        <f>IFERROR(+EK97/EE97*10,0)</f>
        <v>2.7014160631481177E-3</v>
      </c>
      <c r="EK97" s="413">
        <f t="shared" si="14"/>
        <v>8.7320000000000002E-3</v>
      </c>
      <c r="EL97" s="413"/>
      <c r="EM97" s="413">
        <f t="shared" si="15"/>
        <v>5.6781174587793179</v>
      </c>
      <c r="EN97" s="807">
        <f t="shared" si="16"/>
        <v>18.353826471395525</v>
      </c>
      <c r="EO97" s="809">
        <f t="shared" si="17"/>
        <v>5.6781174587793179</v>
      </c>
      <c r="EP97" s="413">
        <f t="shared" si="18"/>
        <v>5.864612124333112</v>
      </c>
      <c r="EQ97" s="434"/>
      <c r="ER97" s="434"/>
      <c r="ES97" s="434"/>
      <c r="ET97" s="434"/>
      <c r="EU97" s="434"/>
      <c r="EV97" s="434"/>
      <c r="EW97" s="434"/>
      <c r="EX97" s="434"/>
      <c r="EY97" s="434"/>
      <c r="EZ97" s="434"/>
      <c r="FA97" s="434"/>
      <c r="FB97" s="434"/>
      <c r="FC97" s="399"/>
      <c r="FD97" s="399"/>
      <c r="FE97" s="399"/>
      <c r="FF97" s="399"/>
      <c r="FG97" s="415"/>
      <c r="FH97" s="415"/>
      <c r="FI97" s="415"/>
      <c r="FJ97" s="415"/>
      <c r="FK97" s="415"/>
      <c r="FL97" s="415"/>
      <c r="FM97" s="415"/>
    </row>
    <row r="98" spans="1:169">
      <c r="A98" s="410" t="s">
        <v>20</v>
      </c>
      <c r="B98" s="412" t="str">
        <f>+F1_PP_Annual!B225</f>
        <v>UI Charges</v>
      </c>
      <c r="C98" s="412"/>
      <c r="D98" s="412"/>
      <c r="E98" s="412"/>
      <c r="F98" s="412"/>
      <c r="G98" s="412"/>
      <c r="H98" s="412"/>
      <c r="I98" s="412"/>
      <c r="J98" s="804">
        <f>+F1_PP_Annual!J462</f>
        <v>0.43379123467258074</v>
      </c>
      <c r="K98" s="806">
        <v>0</v>
      </c>
      <c r="L98" s="805">
        <f>+'Energy Balance'!$I$17</f>
        <v>3.1800000000000057E-2</v>
      </c>
      <c r="M98" s="413">
        <f t="shared" si="27"/>
        <v>0.41999667340999264</v>
      </c>
      <c r="N98" s="413">
        <f>+[3]Data!$P$85</f>
        <v>9.7124237161743565E-2</v>
      </c>
      <c r="O98" s="413"/>
      <c r="P98" s="413"/>
      <c r="Q98" s="413">
        <f>IFERROR(+R98/N98*10,0)</f>
        <v>6.1822879391068444</v>
      </c>
      <c r="R98" s="413">
        <f>+[3]Data!$P$101</f>
        <v>6.0045000000000001E-2</v>
      </c>
      <c r="S98" s="413">
        <f>IFERROR(+T98/N98*10,0)</f>
        <v>-0.10852080086299633</v>
      </c>
      <c r="T98" s="413">
        <f>-[3]Data!P109+[3]Data!P117+[3]Data!P125</f>
        <v>-1.054E-3</v>
      </c>
      <c r="U98" s="413"/>
      <c r="V98" s="413">
        <f t="shared" si="28"/>
        <v>6.0737671382438485</v>
      </c>
      <c r="W98" s="807">
        <f t="shared" si="29"/>
        <v>5.8991000000000002E-2</v>
      </c>
      <c r="X98" s="413">
        <f>+[3]Data!Q85</f>
        <v>6.0396664387524002E-2</v>
      </c>
      <c r="Y98" s="413"/>
      <c r="Z98" s="413"/>
      <c r="AA98" s="413">
        <f t="shared" ref="AA98" si="44">IFERROR(+AB98/X98*10,0)</f>
        <v>7.322955075170694</v>
      </c>
      <c r="AB98" s="413">
        <f>+[3]Data!Q101</f>
        <v>4.4228205999999999E-2</v>
      </c>
      <c r="AC98" s="413">
        <f>IFERROR(+AD98/X98*10,0)</f>
        <v>-2.5812683793213567E-2</v>
      </c>
      <c r="AD98" s="413">
        <f>+[3]Data!Q125</f>
        <v>-1.5589999999999999E-4</v>
      </c>
      <c r="AE98" s="413"/>
      <c r="AF98" s="413">
        <f t="shared" ref="AF98" si="45">IFERROR(+AG98/X98*10,0)</f>
        <v>7.2971423913774807</v>
      </c>
      <c r="AG98" s="807">
        <f t="shared" ref="AG98" si="46">+Z98+AB98+AD98+AE98</f>
        <v>4.4072305999999999E-2</v>
      </c>
      <c r="AH98" s="413">
        <f>+[3]Data!R85</f>
        <v>3.1508334063210075E-2</v>
      </c>
      <c r="AI98" s="413"/>
      <c r="AJ98" s="413"/>
      <c r="AK98" s="413">
        <f>IFERROR(+AL98/AH98*10,0)</f>
        <v>10.101660702259704</v>
      </c>
      <c r="AL98" s="413">
        <f>+[3]Data!R101</f>
        <v>3.182865E-2</v>
      </c>
      <c r="AM98" s="413">
        <f>IFERROR(+AN98/AH98*10,0)</f>
        <v>0.1587833869592499</v>
      </c>
      <c r="AN98" s="413">
        <f>+[3]Data!R125</f>
        <v>5.0029999999999996E-4</v>
      </c>
      <c r="AO98" s="413"/>
      <c r="AP98" s="413">
        <f t="shared" si="32"/>
        <v>10.260444089218954</v>
      </c>
      <c r="AQ98" s="807">
        <f t="shared" si="33"/>
        <v>3.2328950000000002E-2</v>
      </c>
      <c r="AR98" s="413">
        <f>+[3]Data!S85</f>
        <v>8.4096914242924203E-2</v>
      </c>
      <c r="AS98" s="413"/>
      <c r="AT98" s="413"/>
      <c r="AU98" s="413">
        <f t="shared" ref="AU98" si="47">IFERROR(+AV98/AR98*10,0)</f>
        <v>5.7166272309503885</v>
      </c>
      <c r="AV98" s="413">
        <f>+[3]Data!S101</f>
        <v>4.8075071000000004E-2</v>
      </c>
      <c r="AW98" s="413">
        <f>IFERROR(+AX98/AR98*10,0)</f>
        <v>8.3356209476970339E-3</v>
      </c>
      <c r="AX98" s="413">
        <f>+[3]Data!S125</f>
        <v>7.0099999999999996E-5</v>
      </c>
      <c r="AY98" s="413"/>
      <c r="AZ98" s="413">
        <f t="shared" si="34"/>
        <v>5.7249628518980842</v>
      </c>
      <c r="BA98" s="807">
        <f t="shared" si="35"/>
        <v>4.8145171E-2</v>
      </c>
      <c r="BB98" s="413">
        <f>+[3]Data!T85</f>
        <v>0.11903198401156878</v>
      </c>
      <c r="BC98" s="413"/>
      <c r="BD98" s="413"/>
      <c r="BE98" s="413">
        <f>IFERROR(+BF98/BB98*10,0)</f>
        <v>7.8452089810520222</v>
      </c>
      <c r="BF98" s="413">
        <f>+[3]Data!T101</f>
        <v>9.3383079000000008E-2</v>
      </c>
      <c r="BG98" s="413">
        <f>IFERROR(+BH98/BB98*10,0)</f>
        <v>-2.1733654374345036E-2</v>
      </c>
      <c r="BH98" s="413">
        <f>+[3]Data!T125</f>
        <v>-2.587E-4</v>
      </c>
      <c r="BI98" s="413"/>
      <c r="BJ98" s="413">
        <f t="shared" si="36"/>
        <v>7.8234753266776771</v>
      </c>
      <c r="BK98" s="807">
        <f t="shared" si="37"/>
        <v>9.3124379000000007E-2</v>
      </c>
      <c r="BL98" s="413">
        <f>+[3]Data!U85</f>
        <v>4.1633100805610113E-2</v>
      </c>
      <c r="BM98" s="413"/>
      <c r="BN98" s="413"/>
      <c r="BO98" s="413">
        <f>IFERROR(+BP98/BL98*10,0)</f>
        <v>7.6703390768570499</v>
      </c>
      <c r="BP98" s="413">
        <f>+[3]Data!U101</f>
        <v>3.1933999999999997E-2</v>
      </c>
      <c r="BQ98" s="413">
        <f>IFERROR(+BR98/BL98*10,0)</f>
        <v>4.2994635647191463E-3</v>
      </c>
      <c r="BR98" s="413">
        <f>+[3]Data!U125</f>
        <v>1.7900000000000001E-5</v>
      </c>
      <c r="BS98" s="413"/>
      <c r="BT98" s="413">
        <f t="shared" si="38"/>
        <v>7.6746385404217694</v>
      </c>
      <c r="BU98" s="807">
        <f t="shared" si="39"/>
        <v>3.1951899999999998E-2</v>
      </c>
      <c r="BV98" s="413"/>
      <c r="BW98" s="413"/>
      <c r="BX98" s="413"/>
      <c r="BY98" s="413"/>
      <c r="BZ98" s="413"/>
      <c r="CA98" s="413"/>
      <c r="CB98" s="413"/>
      <c r="CC98" s="413"/>
      <c r="CD98" s="413"/>
      <c r="CE98" s="807"/>
      <c r="CF98" s="413"/>
      <c r="CG98" s="413"/>
      <c r="CH98" s="413"/>
      <c r="CI98" s="413"/>
      <c r="CJ98" s="413"/>
      <c r="CK98" s="413"/>
      <c r="CL98" s="413"/>
      <c r="CM98" s="413"/>
      <c r="CN98" s="413"/>
      <c r="CO98" s="807"/>
      <c r="CP98" s="413"/>
      <c r="CQ98" s="413"/>
      <c r="CR98" s="413"/>
      <c r="CS98" s="413"/>
      <c r="CT98" s="413"/>
      <c r="CU98" s="413"/>
      <c r="CV98" s="413"/>
      <c r="CW98" s="413"/>
      <c r="CX98" s="413"/>
      <c r="CY98" s="807"/>
      <c r="CZ98" s="413"/>
      <c r="DA98" s="413"/>
      <c r="DB98" s="413"/>
      <c r="DC98" s="413"/>
      <c r="DD98" s="413"/>
      <c r="DE98" s="413"/>
      <c r="DF98" s="413"/>
      <c r="DG98" s="413"/>
      <c r="DH98" s="413"/>
      <c r="DI98" s="807"/>
      <c r="DJ98" s="413"/>
      <c r="DK98" s="413"/>
      <c r="DL98" s="413"/>
      <c r="DM98" s="413"/>
      <c r="DN98" s="413"/>
      <c r="DO98" s="413"/>
      <c r="DP98" s="413"/>
      <c r="DQ98" s="413"/>
      <c r="DR98" s="413"/>
      <c r="DS98" s="807"/>
      <c r="DT98" s="413"/>
      <c r="DU98" s="413"/>
      <c r="DV98" s="413"/>
      <c r="DW98" s="413"/>
      <c r="DX98" s="413"/>
      <c r="DY98" s="413"/>
      <c r="DZ98" s="413"/>
      <c r="EA98" s="413"/>
      <c r="EB98" s="413"/>
      <c r="EC98" s="807"/>
      <c r="ED98" s="413"/>
      <c r="EE98" s="413">
        <f t="shared" si="12"/>
        <v>0.43379123467258074</v>
      </c>
      <c r="EF98" s="413"/>
      <c r="EG98" s="413"/>
      <c r="EH98" s="413">
        <f>IFERROR(+EI98/EE98*10,0)</f>
        <v>7.1346302382896596</v>
      </c>
      <c r="EI98" s="413">
        <f t="shared" si="13"/>
        <v>0.30949400600000004</v>
      </c>
      <c r="EJ98" s="413">
        <f>IFERROR(+EK98/EE98*10,0)</f>
        <v>-2.0293171683481284E-2</v>
      </c>
      <c r="EK98" s="413">
        <f t="shared" si="14"/>
        <v>-8.8030000000000009E-4</v>
      </c>
      <c r="EL98" s="413"/>
      <c r="EM98" s="413">
        <f t="shared" si="15"/>
        <v>7.1143370666061791</v>
      </c>
      <c r="EN98" s="807">
        <f t="shared" si="16"/>
        <v>0.30861370600000004</v>
      </c>
      <c r="EO98" s="809">
        <f t="shared" si="17"/>
        <v>7.1143370666061791</v>
      </c>
      <c r="EP98" s="809">
        <f t="shared" si="18"/>
        <v>7.3480035804649644</v>
      </c>
      <c r="EQ98" s="434"/>
      <c r="ER98" s="434"/>
      <c r="ES98" s="434"/>
      <c r="ET98" s="434"/>
      <c r="EU98" s="434"/>
      <c r="EV98" s="434"/>
      <c r="EW98" s="434"/>
      <c r="EX98" s="434"/>
      <c r="EY98" s="434"/>
      <c r="EZ98" s="434"/>
      <c r="FA98" s="434"/>
      <c r="FB98" s="434"/>
      <c r="FC98" s="399"/>
      <c r="FD98" s="399"/>
      <c r="FE98" s="399"/>
      <c r="FF98" s="399"/>
      <c r="FG98" s="415"/>
      <c r="FH98" s="415"/>
      <c r="FI98" s="415"/>
      <c r="FJ98" s="415"/>
      <c r="FK98" s="415"/>
      <c r="FL98" s="415"/>
      <c r="FM98" s="415"/>
    </row>
    <row r="99" spans="1:169">
      <c r="A99" s="410"/>
      <c r="B99" s="412"/>
      <c r="C99" s="412"/>
      <c r="D99" s="412"/>
      <c r="E99" s="412"/>
      <c r="F99" s="412"/>
      <c r="G99" s="412"/>
      <c r="H99" s="412"/>
      <c r="I99" s="412"/>
      <c r="J99" s="412"/>
      <c r="K99" s="412"/>
      <c r="L99" s="412"/>
      <c r="M99" s="413"/>
      <c r="N99" s="413"/>
      <c r="O99" s="413"/>
      <c r="P99" s="413"/>
      <c r="Q99" s="413"/>
      <c r="R99" s="413"/>
      <c r="S99" s="413"/>
      <c r="T99" s="413"/>
      <c r="U99" s="413"/>
      <c r="V99" s="413"/>
      <c r="W99" s="807">
        <f t="shared" si="29"/>
        <v>0</v>
      </c>
      <c r="BB99" s="413"/>
      <c r="BC99" s="413"/>
      <c r="BD99" s="413"/>
      <c r="BE99" s="413"/>
      <c r="BF99" s="413"/>
      <c r="BG99" s="413"/>
      <c r="BH99" s="413"/>
      <c r="BI99" s="414"/>
      <c r="BJ99" s="413"/>
      <c r="BK99" s="413"/>
      <c r="BL99" s="413"/>
      <c r="BM99" s="413"/>
      <c r="BN99" s="413"/>
      <c r="BO99" s="413"/>
      <c r="BP99" s="413"/>
      <c r="BQ99" s="413"/>
      <c r="BR99" s="413"/>
      <c r="BS99" s="413"/>
      <c r="BT99" s="413"/>
      <c r="BU99" s="413"/>
      <c r="BV99" s="413"/>
      <c r="BW99" s="413"/>
      <c r="BX99" s="413"/>
      <c r="BY99" s="413"/>
      <c r="BZ99" s="413"/>
      <c r="CA99" s="413"/>
      <c r="CB99" s="413"/>
      <c r="CC99" s="413"/>
      <c r="CD99" s="413"/>
      <c r="CE99" s="413"/>
      <c r="CF99" s="413"/>
      <c r="CG99" s="413"/>
      <c r="CH99" s="413"/>
      <c r="CI99" s="413"/>
      <c r="CJ99" s="413"/>
      <c r="CK99" s="413"/>
      <c r="CL99" s="413"/>
      <c r="CM99" s="414"/>
      <c r="CN99" s="413"/>
      <c r="CO99" s="413"/>
      <c r="CP99" s="413"/>
      <c r="CQ99" s="413"/>
      <c r="CR99" s="413"/>
      <c r="CS99" s="413"/>
      <c r="CT99" s="413"/>
      <c r="CU99" s="413"/>
      <c r="CV99" s="413"/>
      <c r="CW99" s="414"/>
      <c r="CX99" s="413"/>
      <c r="CY99" s="413"/>
      <c r="CZ99" s="413"/>
      <c r="DA99" s="413"/>
      <c r="DB99" s="413"/>
      <c r="DC99" s="413"/>
      <c r="DD99" s="413"/>
      <c r="DE99" s="413"/>
      <c r="DF99" s="413"/>
      <c r="DG99" s="414"/>
      <c r="DH99" s="413"/>
      <c r="DI99" s="413"/>
      <c r="DJ99" s="413"/>
      <c r="DK99" s="413"/>
      <c r="DL99" s="413"/>
      <c r="DM99" s="413"/>
      <c r="DN99" s="413"/>
      <c r="DO99" s="413"/>
      <c r="DP99" s="413"/>
      <c r="DQ99" s="414"/>
      <c r="DR99" s="413"/>
      <c r="DS99" s="413"/>
      <c r="DT99" s="413"/>
      <c r="DU99" s="413"/>
      <c r="DV99" s="413"/>
      <c r="DW99" s="413"/>
      <c r="DX99" s="413"/>
      <c r="DY99" s="413"/>
      <c r="DZ99" s="413"/>
      <c r="EA99" s="413"/>
      <c r="EB99" s="413"/>
      <c r="EC99" s="413"/>
      <c r="ED99" s="413"/>
      <c r="EE99" s="413"/>
      <c r="EF99" s="413"/>
      <c r="EG99" s="413"/>
      <c r="EH99" s="413"/>
      <c r="EI99" s="413"/>
      <c r="EJ99" s="413"/>
      <c r="EK99" s="413"/>
      <c r="EL99" s="413"/>
      <c r="EM99" s="452"/>
      <c r="EN99" s="413"/>
      <c r="EO99" s="453"/>
      <c r="EP99" s="413"/>
      <c r="EQ99" s="434"/>
      <c r="ER99" s="434"/>
      <c r="ES99" s="434"/>
      <c r="ET99" s="434"/>
      <c r="EU99" s="434"/>
      <c r="EV99" s="434"/>
      <c r="EW99" s="434"/>
      <c r="EX99" s="434"/>
      <c r="EY99" s="434"/>
      <c r="EZ99" s="434"/>
      <c r="FA99" s="434"/>
      <c r="FB99" s="434"/>
      <c r="FC99" s="399"/>
      <c r="FD99" s="399"/>
      <c r="FE99" s="399"/>
      <c r="FF99" s="399"/>
      <c r="FG99" s="415"/>
      <c r="FH99" s="415"/>
      <c r="FI99" s="415"/>
      <c r="FJ99" s="415"/>
      <c r="FK99" s="415"/>
      <c r="FL99" s="415"/>
      <c r="FM99" s="415"/>
    </row>
    <row r="100" spans="1:169">
      <c r="A100" s="410" t="s">
        <v>40</v>
      </c>
      <c r="B100" s="412" t="s">
        <v>1355</v>
      </c>
      <c r="C100" s="412"/>
      <c r="D100" s="412"/>
      <c r="E100" s="412"/>
      <c r="F100" s="412"/>
      <c r="G100" s="412"/>
      <c r="H100" s="412"/>
      <c r="I100" s="412"/>
      <c r="J100" s="412"/>
      <c r="K100" s="412"/>
      <c r="L100" s="412"/>
      <c r="M100" s="413"/>
      <c r="N100" s="413"/>
      <c r="O100" s="413"/>
      <c r="P100" s="413"/>
      <c r="Q100" s="413"/>
      <c r="R100" s="413"/>
      <c r="S100" s="413"/>
      <c r="T100" s="413"/>
      <c r="U100" s="413"/>
      <c r="V100" s="413"/>
      <c r="W100" s="807"/>
      <c r="X100" s="413"/>
      <c r="Y100" s="413"/>
      <c r="Z100" s="413"/>
      <c r="AA100" s="413"/>
      <c r="AB100" s="413"/>
      <c r="AC100" s="413"/>
      <c r="AD100" s="413"/>
      <c r="AE100" s="413"/>
      <c r="AF100" s="413"/>
      <c r="AG100" s="413"/>
      <c r="AH100" s="413"/>
      <c r="AI100" s="413"/>
      <c r="AJ100" s="413"/>
      <c r="AK100" s="413"/>
      <c r="AL100" s="413"/>
      <c r="AM100" s="413"/>
      <c r="AN100" s="413"/>
      <c r="AO100" s="414"/>
      <c r="AP100" s="413"/>
      <c r="AQ100" s="413"/>
      <c r="AR100" s="413"/>
      <c r="AS100" s="413"/>
      <c r="AT100" s="413"/>
      <c r="AU100" s="413"/>
      <c r="AV100" s="413"/>
      <c r="AW100" s="413"/>
      <c r="AX100" s="413"/>
      <c r="AY100" s="414"/>
      <c r="AZ100" s="413"/>
      <c r="BA100" s="413"/>
      <c r="BB100" s="413"/>
      <c r="BC100" s="413"/>
      <c r="BD100" s="413"/>
      <c r="BE100" s="413"/>
      <c r="BF100" s="413"/>
      <c r="BG100" s="413"/>
      <c r="BH100" s="413"/>
      <c r="BI100" s="414"/>
      <c r="BJ100" s="413"/>
      <c r="BK100" s="413"/>
      <c r="BL100" s="413"/>
      <c r="BM100" s="413"/>
      <c r="BN100" s="413"/>
      <c r="BO100" s="413"/>
      <c r="BP100" s="413"/>
      <c r="BQ100" s="413"/>
      <c r="BR100" s="413"/>
      <c r="BS100" s="413"/>
      <c r="BT100" s="413"/>
      <c r="BU100" s="413"/>
      <c r="BV100" s="413"/>
      <c r="BW100" s="413"/>
      <c r="BX100" s="413"/>
      <c r="BY100" s="413"/>
      <c r="BZ100" s="413"/>
      <c r="CA100" s="413"/>
      <c r="CB100" s="413"/>
      <c r="CC100" s="413"/>
      <c r="CD100" s="413"/>
      <c r="CE100" s="413"/>
      <c r="CF100" s="413"/>
      <c r="CG100" s="413"/>
      <c r="CH100" s="413"/>
      <c r="CI100" s="413"/>
      <c r="CJ100" s="413"/>
      <c r="CK100" s="413"/>
      <c r="CL100" s="413"/>
      <c r="CM100" s="414"/>
      <c r="CN100" s="413"/>
      <c r="CO100" s="413"/>
      <c r="CP100" s="413"/>
      <c r="CQ100" s="413"/>
      <c r="CR100" s="413"/>
      <c r="CS100" s="413"/>
      <c r="CT100" s="413"/>
      <c r="CU100" s="413"/>
      <c r="CV100" s="413"/>
      <c r="CW100" s="414"/>
      <c r="CX100" s="413"/>
      <c r="CY100" s="413"/>
      <c r="CZ100" s="413"/>
      <c r="DA100" s="413"/>
      <c r="DB100" s="413"/>
      <c r="DC100" s="413"/>
      <c r="DD100" s="413"/>
      <c r="DE100" s="413"/>
      <c r="DF100" s="413"/>
      <c r="DG100" s="414"/>
      <c r="DH100" s="413"/>
      <c r="DI100" s="413"/>
      <c r="DJ100" s="413"/>
      <c r="DK100" s="413"/>
      <c r="DL100" s="413"/>
      <c r="DM100" s="413"/>
      <c r="DN100" s="413"/>
      <c r="DO100" s="413"/>
      <c r="DP100" s="413"/>
      <c r="DQ100" s="414"/>
      <c r="DR100" s="413"/>
      <c r="DS100" s="413"/>
      <c r="DT100" s="413"/>
      <c r="DU100" s="413"/>
      <c r="DV100" s="413"/>
      <c r="DW100" s="413"/>
      <c r="DX100" s="413"/>
      <c r="DY100" s="413"/>
      <c r="DZ100" s="413"/>
      <c r="EA100" s="413"/>
      <c r="EB100" s="413"/>
      <c r="EC100" s="413"/>
      <c r="ED100" s="413"/>
      <c r="EE100" s="413"/>
      <c r="EF100" s="413"/>
      <c r="EG100" s="413"/>
      <c r="EH100" s="413"/>
      <c r="EI100" s="413"/>
      <c r="EJ100" s="413"/>
      <c r="EK100" s="413"/>
      <c r="EL100" s="413"/>
      <c r="EM100" s="452"/>
      <c r="EN100" s="413"/>
      <c r="EO100" s="453"/>
      <c r="EP100" s="413"/>
      <c r="EQ100" s="434"/>
      <c r="ER100" s="434"/>
      <c r="ES100" s="434"/>
      <c r="ET100" s="434"/>
      <c r="EU100" s="434"/>
      <c r="EV100" s="434"/>
      <c r="EW100" s="434"/>
      <c r="EX100" s="434"/>
      <c r="EY100" s="434"/>
      <c r="EZ100" s="434"/>
      <c r="FA100" s="434"/>
      <c r="FB100" s="434"/>
      <c r="FC100" s="399"/>
      <c r="FD100" s="399"/>
      <c r="FE100" s="399"/>
      <c r="FF100" s="399"/>
      <c r="FG100" s="415"/>
      <c r="FH100" s="415"/>
      <c r="FI100" s="415"/>
      <c r="FJ100" s="415"/>
      <c r="FK100" s="415"/>
      <c r="FL100" s="415"/>
      <c r="FM100" s="415"/>
    </row>
    <row r="101" spans="1:169" ht="28.5">
      <c r="A101" s="410" t="s">
        <v>41</v>
      </c>
      <c r="B101" s="466" t="s">
        <v>1356</v>
      </c>
      <c r="C101" s="412"/>
      <c r="D101" s="412"/>
      <c r="E101" s="412"/>
      <c r="F101" s="412"/>
      <c r="G101" s="412"/>
      <c r="H101" s="412"/>
      <c r="I101" s="412"/>
      <c r="J101" s="412"/>
      <c r="K101" s="412"/>
      <c r="L101" s="412"/>
      <c r="M101" s="413"/>
      <c r="N101" s="413"/>
      <c r="O101" s="413"/>
      <c r="P101" s="413"/>
      <c r="Q101" s="413"/>
      <c r="R101" s="413"/>
      <c r="S101" s="413"/>
      <c r="T101" s="413"/>
      <c r="U101" s="413"/>
      <c r="V101" s="413"/>
      <c r="W101" s="413"/>
      <c r="X101" s="413"/>
      <c r="Y101" s="413"/>
      <c r="Z101" s="413"/>
      <c r="AA101" s="413"/>
      <c r="AB101" s="413"/>
      <c r="AC101" s="413"/>
      <c r="AD101" s="413"/>
      <c r="AE101" s="413"/>
      <c r="AF101" s="413"/>
      <c r="AG101" s="413"/>
      <c r="AH101" s="413"/>
      <c r="AI101" s="413"/>
      <c r="AJ101" s="413"/>
      <c r="AK101" s="413"/>
      <c r="AL101" s="413"/>
      <c r="AM101" s="413"/>
      <c r="AN101" s="413"/>
      <c r="AO101" s="414"/>
      <c r="AP101" s="413"/>
      <c r="AQ101" s="413"/>
      <c r="AR101" s="413"/>
      <c r="AS101" s="413"/>
      <c r="AT101" s="413"/>
      <c r="AU101" s="413"/>
      <c r="AV101" s="413"/>
      <c r="AW101" s="413"/>
      <c r="AX101" s="413"/>
      <c r="AY101" s="414"/>
      <c r="AZ101" s="413"/>
      <c r="BA101" s="413"/>
      <c r="BB101" s="413"/>
      <c r="BC101" s="413"/>
      <c r="BD101" s="413"/>
      <c r="BE101" s="413"/>
      <c r="BF101" s="413"/>
      <c r="BG101" s="413"/>
      <c r="BH101" s="413"/>
      <c r="BI101" s="414"/>
      <c r="BJ101" s="413"/>
      <c r="BK101" s="413"/>
      <c r="BL101" s="413"/>
      <c r="BM101" s="413"/>
      <c r="BN101" s="413"/>
      <c r="BO101" s="413"/>
      <c r="BP101" s="413"/>
      <c r="BQ101" s="413"/>
      <c r="BR101" s="413"/>
      <c r="BS101" s="413"/>
      <c r="BT101" s="413"/>
      <c r="BU101" s="413"/>
      <c r="BV101" s="413"/>
      <c r="BW101" s="413"/>
      <c r="BX101" s="413"/>
      <c r="BY101" s="413"/>
      <c r="BZ101" s="413"/>
      <c r="CA101" s="413"/>
      <c r="CB101" s="413"/>
      <c r="CC101" s="413"/>
      <c r="CD101" s="413"/>
      <c r="CE101" s="413"/>
      <c r="CF101" s="413"/>
      <c r="CG101" s="413"/>
      <c r="CH101" s="413"/>
      <c r="CI101" s="413"/>
      <c r="CJ101" s="413"/>
      <c r="CK101" s="413"/>
      <c r="CL101" s="413"/>
      <c r="CM101" s="414"/>
      <c r="CN101" s="413"/>
      <c r="CO101" s="413"/>
      <c r="CP101" s="413"/>
      <c r="CQ101" s="413"/>
      <c r="CR101" s="413"/>
      <c r="CS101" s="413"/>
      <c r="CT101" s="413"/>
      <c r="CU101" s="413"/>
      <c r="CV101" s="413"/>
      <c r="CW101" s="414"/>
      <c r="CX101" s="413"/>
      <c r="CY101" s="413"/>
      <c r="CZ101" s="413"/>
      <c r="DA101" s="413"/>
      <c r="DB101" s="413"/>
      <c r="DC101" s="413"/>
      <c r="DD101" s="413"/>
      <c r="DE101" s="413"/>
      <c r="DF101" s="413"/>
      <c r="DG101" s="414"/>
      <c r="DH101" s="413"/>
      <c r="DI101" s="413"/>
      <c r="DJ101" s="413"/>
      <c r="DK101" s="413"/>
      <c r="DL101" s="413"/>
      <c r="DM101" s="413"/>
      <c r="DN101" s="413"/>
      <c r="DO101" s="413"/>
      <c r="DP101" s="413"/>
      <c r="DQ101" s="414"/>
      <c r="DR101" s="413"/>
      <c r="DS101" s="413"/>
      <c r="DT101" s="413"/>
      <c r="DU101" s="413"/>
      <c r="DV101" s="413"/>
      <c r="DW101" s="413"/>
      <c r="DX101" s="413"/>
      <c r="DY101" s="413"/>
      <c r="DZ101" s="413"/>
      <c r="EA101" s="413"/>
      <c r="EB101" s="413"/>
      <c r="EC101" s="413"/>
      <c r="ED101" s="413"/>
      <c r="EE101" s="413"/>
      <c r="EF101" s="413"/>
      <c r="EG101" s="413"/>
      <c r="EH101" s="413"/>
      <c r="EI101" s="413"/>
      <c r="EJ101" s="413"/>
      <c r="EK101" s="413"/>
      <c r="EL101" s="413"/>
      <c r="EM101" s="452"/>
      <c r="EN101" s="413"/>
      <c r="EO101" s="453"/>
      <c r="EP101" s="413"/>
      <c r="EQ101" s="434"/>
      <c r="ER101" s="434"/>
      <c r="ES101" s="434"/>
      <c r="ET101" s="434"/>
      <c r="EU101" s="434"/>
      <c r="EV101" s="434"/>
      <c r="EW101" s="434"/>
      <c r="EX101" s="434"/>
      <c r="EY101" s="434"/>
      <c r="EZ101" s="434"/>
      <c r="FA101" s="434"/>
      <c r="FB101" s="434"/>
      <c r="FC101" s="399"/>
      <c r="FD101" s="399"/>
      <c r="FE101" s="399"/>
      <c r="FF101" s="399"/>
      <c r="FG101" s="415"/>
      <c r="FH101" s="415"/>
      <c r="FI101" s="415"/>
      <c r="FJ101" s="415"/>
      <c r="FK101" s="415"/>
      <c r="FL101" s="415"/>
      <c r="FM101" s="415"/>
    </row>
    <row r="102" spans="1:169">
      <c r="A102" s="410" t="s">
        <v>42</v>
      </c>
      <c r="B102" s="418" t="s">
        <v>1240</v>
      </c>
      <c r="C102" s="412"/>
      <c r="D102" s="412"/>
      <c r="E102" s="412"/>
      <c r="F102" s="412"/>
      <c r="G102" s="412"/>
      <c r="H102" s="412"/>
      <c r="I102" s="412"/>
      <c r="J102" s="412"/>
      <c r="K102" s="412"/>
      <c r="L102" s="412"/>
      <c r="M102" s="413"/>
      <c r="N102" s="413"/>
      <c r="O102" s="413"/>
      <c r="P102" s="413"/>
      <c r="Q102" s="413"/>
      <c r="R102" s="413"/>
      <c r="S102" s="413"/>
      <c r="T102" s="413"/>
      <c r="U102" s="413"/>
      <c r="V102" s="413"/>
      <c r="W102" s="413"/>
      <c r="X102" s="413"/>
      <c r="Y102" s="413"/>
      <c r="Z102" s="413"/>
      <c r="AA102" s="413"/>
      <c r="AB102" s="413"/>
      <c r="AC102" s="413"/>
      <c r="AD102" s="413"/>
      <c r="AE102" s="413"/>
      <c r="AF102" s="413"/>
      <c r="AG102" s="413"/>
      <c r="AH102" s="413"/>
      <c r="AI102" s="413"/>
      <c r="AJ102" s="413"/>
      <c r="AK102" s="413"/>
      <c r="AL102" s="413"/>
      <c r="AM102" s="413"/>
      <c r="AN102" s="413"/>
      <c r="AO102" s="414"/>
      <c r="AP102" s="413"/>
      <c r="AQ102" s="413"/>
      <c r="AR102" s="413"/>
      <c r="AS102" s="413"/>
      <c r="AT102" s="413"/>
      <c r="AU102" s="413"/>
      <c r="AV102" s="413"/>
      <c r="AW102" s="413"/>
      <c r="AX102" s="413"/>
      <c r="AY102" s="414"/>
      <c r="AZ102" s="413"/>
      <c r="BA102" s="413"/>
      <c r="BB102" s="413"/>
      <c r="BC102" s="413"/>
      <c r="BD102" s="413"/>
      <c r="BE102" s="413"/>
      <c r="BF102" s="413"/>
      <c r="BG102" s="413"/>
      <c r="BH102" s="413"/>
      <c r="BI102" s="414"/>
      <c r="BJ102" s="413"/>
      <c r="BK102" s="413"/>
      <c r="BL102" s="413"/>
      <c r="BM102" s="413"/>
      <c r="BN102" s="413"/>
      <c r="BO102" s="413"/>
      <c r="BP102" s="413"/>
      <c r="BQ102" s="413"/>
      <c r="BR102" s="413"/>
      <c r="BS102" s="413"/>
      <c r="BT102" s="413"/>
      <c r="BU102" s="413"/>
      <c r="BV102" s="413"/>
      <c r="BW102" s="413"/>
      <c r="BX102" s="413"/>
      <c r="BY102" s="413"/>
      <c r="BZ102" s="413"/>
      <c r="CA102" s="413"/>
      <c r="CB102" s="413"/>
      <c r="CC102" s="413"/>
      <c r="CD102" s="413"/>
      <c r="CE102" s="413"/>
      <c r="CF102" s="413"/>
      <c r="CG102" s="413"/>
      <c r="CH102" s="413"/>
      <c r="CI102" s="413"/>
      <c r="CJ102" s="413"/>
      <c r="CK102" s="413"/>
      <c r="CL102" s="413"/>
      <c r="CM102" s="414"/>
      <c r="CN102" s="413"/>
      <c r="CO102" s="413"/>
      <c r="CP102" s="413"/>
      <c r="CQ102" s="413"/>
      <c r="CR102" s="413"/>
      <c r="CS102" s="413"/>
      <c r="CT102" s="413"/>
      <c r="CU102" s="413"/>
      <c r="CV102" s="413"/>
      <c r="CW102" s="414"/>
      <c r="CX102" s="413"/>
      <c r="CY102" s="413"/>
      <c r="CZ102" s="413"/>
      <c r="DA102" s="413"/>
      <c r="DB102" s="413"/>
      <c r="DC102" s="413"/>
      <c r="DD102" s="413"/>
      <c r="DE102" s="413"/>
      <c r="DF102" s="413"/>
      <c r="DG102" s="414"/>
      <c r="DH102" s="413"/>
      <c r="DI102" s="413"/>
      <c r="DJ102" s="413"/>
      <c r="DK102" s="413"/>
      <c r="DL102" s="413"/>
      <c r="DM102" s="413"/>
      <c r="DN102" s="413"/>
      <c r="DO102" s="413"/>
      <c r="DP102" s="413"/>
      <c r="DQ102" s="414"/>
      <c r="DR102" s="413"/>
      <c r="DS102" s="413"/>
      <c r="DT102" s="413"/>
      <c r="DU102" s="413"/>
      <c r="DV102" s="413"/>
      <c r="DW102" s="413"/>
      <c r="DX102" s="413"/>
      <c r="DY102" s="413"/>
      <c r="DZ102" s="413"/>
      <c r="EA102" s="413"/>
      <c r="EB102" s="413"/>
      <c r="EC102" s="413"/>
      <c r="ED102" s="413"/>
      <c r="EE102" s="413"/>
      <c r="EF102" s="413"/>
      <c r="EG102" s="413"/>
      <c r="EH102" s="413"/>
      <c r="EI102" s="413"/>
      <c r="EJ102" s="413"/>
      <c r="EK102" s="413"/>
      <c r="EL102" s="413"/>
      <c r="EM102" s="452"/>
      <c r="EN102" s="413"/>
      <c r="EO102" s="453"/>
      <c r="EP102" s="413"/>
      <c r="EQ102" s="434"/>
      <c r="ER102" s="434"/>
      <c r="ES102" s="434"/>
      <c r="ET102" s="434"/>
      <c r="EU102" s="434"/>
      <c r="EV102" s="434"/>
      <c r="EW102" s="434"/>
      <c r="EX102" s="434"/>
      <c r="EY102" s="434"/>
      <c r="EZ102" s="434"/>
      <c r="FA102" s="434"/>
      <c r="FB102" s="434"/>
      <c r="FC102" s="399"/>
      <c r="FD102" s="399"/>
      <c r="FE102" s="399"/>
      <c r="FF102" s="399"/>
      <c r="FG102" s="415"/>
      <c r="FH102" s="415"/>
      <c r="FI102" s="415"/>
      <c r="FJ102" s="415"/>
      <c r="FK102" s="415"/>
      <c r="FL102" s="415"/>
      <c r="FM102" s="415"/>
    </row>
    <row r="103" spans="1:169">
      <c r="A103" s="410" t="s">
        <v>90</v>
      </c>
      <c r="B103" s="418" t="s">
        <v>1241</v>
      </c>
      <c r="C103" s="412"/>
      <c r="D103" s="412"/>
      <c r="E103" s="412"/>
      <c r="F103" s="412"/>
      <c r="G103" s="412"/>
      <c r="H103" s="412"/>
      <c r="I103" s="412"/>
      <c r="J103" s="412"/>
      <c r="K103" s="412"/>
      <c r="L103" s="412"/>
      <c r="M103" s="413"/>
      <c r="N103" s="413"/>
      <c r="O103" s="413"/>
      <c r="P103" s="413"/>
      <c r="Q103" s="413"/>
      <c r="R103" s="413"/>
      <c r="S103" s="413"/>
      <c r="T103" s="413"/>
      <c r="U103" s="413"/>
      <c r="V103" s="413"/>
      <c r="W103" s="413"/>
      <c r="X103" s="413"/>
      <c r="Y103" s="413"/>
      <c r="Z103" s="413"/>
      <c r="AA103" s="413"/>
      <c r="AB103" s="413"/>
      <c r="AC103" s="413"/>
      <c r="AD103" s="413"/>
      <c r="AE103" s="413"/>
      <c r="AF103" s="413"/>
      <c r="AG103" s="413"/>
      <c r="AH103" s="413"/>
      <c r="AI103" s="413"/>
      <c r="AJ103" s="413"/>
      <c r="AK103" s="413"/>
      <c r="AL103" s="413"/>
      <c r="AM103" s="413"/>
      <c r="AN103" s="413"/>
      <c r="AO103" s="414"/>
      <c r="AP103" s="413"/>
      <c r="AQ103" s="413"/>
      <c r="AR103" s="413"/>
      <c r="AS103" s="413"/>
      <c r="AT103" s="413"/>
      <c r="AU103" s="413"/>
      <c r="AV103" s="413"/>
      <c r="AW103" s="413"/>
      <c r="AX103" s="413"/>
      <c r="AY103" s="414"/>
      <c r="AZ103" s="413"/>
      <c r="BA103" s="413"/>
      <c r="BB103" s="413"/>
      <c r="BC103" s="413"/>
      <c r="BD103" s="413"/>
      <c r="BE103" s="413"/>
      <c r="BF103" s="413"/>
      <c r="BG103" s="413"/>
      <c r="BH103" s="413"/>
      <c r="BI103" s="414"/>
      <c r="BJ103" s="413"/>
      <c r="BK103" s="413"/>
      <c r="BL103" s="413"/>
      <c r="BM103" s="413"/>
      <c r="BN103" s="413"/>
      <c r="BO103" s="413"/>
      <c r="BP103" s="413"/>
      <c r="BQ103" s="413"/>
      <c r="BR103" s="413"/>
      <c r="BS103" s="413"/>
      <c r="BT103" s="413"/>
      <c r="BU103" s="413"/>
      <c r="BV103" s="413"/>
      <c r="BW103" s="413"/>
      <c r="BX103" s="413"/>
      <c r="BY103" s="413"/>
      <c r="BZ103" s="413"/>
      <c r="CA103" s="413"/>
      <c r="CB103" s="413"/>
      <c r="CC103" s="413"/>
      <c r="CD103" s="413"/>
      <c r="CE103" s="413"/>
      <c r="CF103" s="413"/>
      <c r="CG103" s="413"/>
      <c r="CH103" s="413"/>
      <c r="CI103" s="413"/>
      <c r="CJ103" s="413"/>
      <c r="CK103" s="413"/>
      <c r="CL103" s="413"/>
      <c r="CM103" s="414"/>
      <c r="CN103" s="413"/>
      <c r="CO103" s="413"/>
      <c r="CP103" s="413"/>
      <c r="CQ103" s="413"/>
      <c r="CR103" s="413"/>
      <c r="CS103" s="413"/>
      <c r="CT103" s="413"/>
      <c r="CU103" s="413"/>
      <c r="CV103" s="413"/>
      <c r="CW103" s="414"/>
      <c r="CX103" s="413"/>
      <c r="CY103" s="413"/>
      <c r="CZ103" s="413"/>
      <c r="DA103" s="413"/>
      <c r="DB103" s="413"/>
      <c r="DC103" s="413"/>
      <c r="DD103" s="413"/>
      <c r="DE103" s="413"/>
      <c r="DF103" s="413"/>
      <c r="DG103" s="414"/>
      <c r="DH103" s="413"/>
      <c r="DI103" s="413"/>
      <c r="DJ103" s="413"/>
      <c r="DK103" s="413"/>
      <c r="DL103" s="413"/>
      <c r="DM103" s="413"/>
      <c r="DN103" s="413"/>
      <c r="DO103" s="413"/>
      <c r="DP103" s="413"/>
      <c r="DQ103" s="414"/>
      <c r="DR103" s="413"/>
      <c r="DS103" s="413"/>
      <c r="DT103" s="413"/>
      <c r="DU103" s="413"/>
      <c r="DV103" s="413"/>
      <c r="DW103" s="413"/>
      <c r="DX103" s="413"/>
      <c r="DY103" s="413"/>
      <c r="DZ103" s="413"/>
      <c r="EA103" s="413"/>
      <c r="EB103" s="413"/>
      <c r="EC103" s="413"/>
      <c r="ED103" s="413"/>
      <c r="EE103" s="413"/>
      <c r="EF103" s="413"/>
      <c r="EG103" s="413"/>
      <c r="EH103" s="413"/>
      <c r="EI103" s="413"/>
      <c r="EJ103" s="413"/>
      <c r="EK103" s="413"/>
      <c r="EL103" s="413"/>
      <c r="EM103" s="452"/>
      <c r="EN103" s="413"/>
      <c r="EO103" s="453"/>
      <c r="EP103" s="413"/>
      <c r="EQ103" s="434"/>
      <c r="ER103" s="434"/>
      <c r="ES103" s="434"/>
      <c r="ET103" s="434"/>
      <c r="EU103" s="434"/>
      <c r="EV103" s="434"/>
      <c r="EW103" s="434"/>
      <c r="EX103" s="434"/>
      <c r="EY103" s="434"/>
      <c r="EZ103" s="434"/>
      <c r="FA103" s="434"/>
      <c r="FB103" s="434"/>
      <c r="FC103" s="399"/>
      <c r="FD103" s="399"/>
      <c r="FE103" s="399"/>
      <c r="FF103" s="399"/>
      <c r="FG103" s="415"/>
      <c r="FH103" s="415"/>
      <c r="FI103" s="415"/>
      <c r="FJ103" s="415"/>
      <c r="FK103" s="415"/>
      <c r="FL103" s="415"/>
      <c r="FM103" s="415"/>
    </row>
    <row r="104" spans="1:169">
      <c r="A104" s="410" t="s">
        <v>91</v>
      </c>
      <c r="B104" s="418" t="s">
        <v>1352</v>
      </c>
      <c r="C104" s="412"/>
      <c r="D104" s="412"/>
      <c r="E104" s="412"/>
      <c r="F104" s="412"/>
      <c r="G104" s="412"/>
      <c r="H104" s="412"/>
      <c r="I104" s="412"/>
      <c r="J104" s="412"/>
      <c r="K104" s="412"/>
      <c r="L104" s="412"/>
      <c r="M104" s="413"/>
      <c r="N104" s="413"/>
      <c r="O104" s="413"/>
      <c r="P104" s="413"/>
      <c r="Q104" s="413"/>
      <c r="R104" s="413"/>
      <c r="S104" s="413"/>
      <c r="T104" s="413"/>
      <c r="U104" s="413"/>
      <c r="V104" s="413"/>
      <c r="W104" s="413"/>
      <c r="X104" s="413"/>
      <c r="Y104" s="413"/>
      <c r="Z104" s="413"/>
      <c r="AA104" s="413"/>
      <c r="AB104" s="413"/>
      <c r="AC104" s="413"/>
      <c r="AD104" s="413"/>
      <c r="AE104" s="413"/>
      <c r="AF104" s="413"/>
      <c r="AG104" s="413"/>
      <c r="AH104" s="413"/>
      <c r="AI104" s="413"/>
      <c r="AJ104" s="413"/>
      <c r="AK104" s="413"/>
      <c r="AL104" s="413"/>
      <c r="AM104" s="413"/>
      <c r="AN104" s="413"/>
      <c r="AO104" s="414"/>
      <c r="AP104" s="413"/>
      <c r="AQ104" s="413"/>
      <c r="AR104" s="413"/>
      <c r="AS104" s="413"/>
      <c r="AT104" s="413"/>
      <c r="AU104" s="413"/>
      <c r="AV104" s="413"/>
      <c r="AW104" s="413"/>
      <c r="AX104" s="413"/>
      <c r="AY104" s="414"/>
      <c r="AZ104" s="413"/>
      <c r="BA104" s="413"/>
      <c r="BB104" s="413"/>
      <c r="BC104" s="413"/>
      <c r="BD104" s="413"/>
      <c r="BE104" s="413"/>
      <c r="BF104" s="413"/>
      <c r="BG104" s="413"/>
      <c r="BH104" s="413"/>
      <c r="BI104" s="414"/>
      <c r="BJ104" s="413"/>
      <c r="BK104" s="413"/>
      <c r="BL104" s="413"/>
      <c r="BM104" s="413"/>
      <c r="BN104" s="413"/>
      <c r="BO104" s="413"/>
      <c r="BP104" s="413"/>
      <c r="BQ104" s="413"/>
      <c r="BR104" s="413"/>
      <c r="BS104" s="413"/>
      <c r="BT104" s="413"/>
      <c r="BU104" s="413"/>
      <c r="BV104" s="413"/>
      <c r="BW104" s="413"/>
      <c r="BX104" s="413"/>
      <c r="BY104" s="413"/>
      <c r="BZ104" s="413"/>
      <c r="CA104" s="413"/>
      <c r="CB104" s="413"/>
      <c r="CC104" s="413"/>
      <c r="CD104" s="413"/>
      <c r="CE104" s="413"/>
      <c r="CF104" s="413"/>
      <c r="CG104" s="413"/>
      <c r="CH104" s="413"/>
      <c r="CI104" s="413"/>
      <c r="CJ104" s="413"/>
      <c r="CK104" s="413"/>
      <c r="CL104" s="413"/>
      <c r="CM104" s="414"/>
      <c r="CN104" s="413"/>
      <c r="CO104" s="413"/>
      <c r="CP104" s="413"/>
      <c r="CQ104" s="413"/>
      <c r="CR104" s="413"/>
      <c r="CS104" s="413"/>
      <c r="CT104" s="413"/>
      <c r="CU104" s="413"/>
      <c r="CV104" s="413"/>
      <c r="CW104" s="414"/>
      <c r="CX104" s="413"/>
      <c r="CY104" s="413"/>
      <c r="CZ104" s="413"/>
      <c r="DA104" s="413"/>
      <c r="DB104" s="413"/>
      <c r="DC104" s="413"/>
      <c r="DD104" s="413"/>
      <c r="DE104" s="413"/>
      <c r="DF104" s="413"/>
      <c r="DG104" s="414"/>
      <c r="DH104" s="413"/>
      <c r="DI104" s="413"/>
      <c r="DJ104" s="413"/>
      <c r="DK104" s="413"/>
      <c r="DL104" s="413"/>
      <c r="DM104" s="413"/>
      <c r="DN104" s="413"/>
      <c r="DO104" s="413"/>
      <c r="DP104" s="413"/>
      <c r="DQ104" s="414"/>
      <c r="DR104" s="413"/>
      <c r="DS104" s="413"/>
      <c r="DT104" s="413"/>
      <c r="DU104" s="413"/>
      <c r="DV104" s="413"/>
      <c r="DW104" s="413"/>
      <c r="DX104" s="413"/>
      <c r="DY104" s="413"/>
      <c r="DZ104" s="413"/>
      <c r="EA104" s="413"/>
      <c r="EB104" s="413"/>
      <c r="EC104" s="413"/>
      <c r="ED104" s="413"/>
      <c r="EE104" s="413"/>
      <c r="EF104" s="413"/>
      <c r="EG104" s="413"/>
      <c r="EH104" s="413"/>
      <c r="EI104" s="413"/>
      <c r="EJ104" s="413"/>
      <c r="EK104" s="413"/>
      <c r="EL104" s="413"/>
      <c r="EM104" s="452"/>
      <c r="EN104" s="413"/>
      <c r="EO104" s="453"/>
      <c r="EP104" s="413"/>
      <c r="EQ104" s="434"/>
      <c r="ER104" s="434"/>
      <c r="ES104" s="434"/>
      <c r="ET104" s="434"/>
      <c r="EU104" s="434"/>
      <c r="EV104" s="434"/>
      <c r="EW104" s="434"/>
      <c r="EX104" s="434"/>
      <c r="EY104" s="434"/>
      <c r="EZ104" s="434"/>
      <c r="FA104" s="434"/>
      <c r="FB104" s="434"/>
      <c r="FC104" s="399"/>
      <c r="FD104" s="399"/>
      <c r="FE104" s="399"/>
      <c r="FF104" s="399"/>
      <c r="FG104" s="415"/>
      <c r="FH104" s="415"/>
      <c r="FI104" s="415"/>
      <c r="FJ104" s="415"/>
      <c r="FK104" s="415"/>
      <c r="FL104" s="415"/>
      <c r="FM104" s="415"/>
    </row>
    <row r="105" spans="1:169">
      <c r="A105" s="410" t="s">
        <v>92</v>
      </c>
      <c r="B105" s="418" t="s">
        <v>1201</v>
      </c>
      <c r="C105" s="412"/>
      <c r="D105" s="412"/>
      <c r="E105" s="412"/>
      <c r="F105" s="412"/>
      <c r="G105" s="412"/>
      <c r="H105" s="412"/>
      <c r="I105" s="412"/>
      <c r="J105" s="412"/>
      <c r="K105" s="412"/>
      <c r="L105" s="412"/>
      <c r="M105" s="413"/>
      <c r="N105" s="413"/>
      <c r="O105" s="413"/>
      <c r="P105" s="413"/>
      <c r="Q105" s="413"/>
      <c r="R105" s="413"/>
      <c r="S105" s="413"/>
      <c r="T105" s="413"/>
      <c r="U105" s="413"/>
      <c r="V105" s="413"/>
      <c r="W105" s="413"/>
      <c r="X105" s="413"/>
      <c r="Y105" s="413"/>
      <c r="Z105" s="413"/>
      <c r="AA105" s="413"/>
      <c r="AB105" s="413"/>
      <c r="AC105" s="413"/>
      <c r="AD105" s="413"/>
      <c r="AE105" s="413"/>
      <c r="AF105" s="413"/>
      <c r="AG105" s="413"/>
      <c r="AH105" s="413"/>
      <c r="AI105" s="413"/>
      <c r="AJ105" s="413"/>
      <c r="AK105" s="413"/>
      <c r="AL105" s="413"/>
      <c r="AM105" s="413"/>
      <c r="AN105" s="413"/>
      <c r="AO105" s="414"/>
      <c r="AP105" s="413"/>
      <c r="AQ105" s="413"/>
      <c r="AR105" s="413"/>
      <c r="AS105" s="413"/>
      <c r="AT105" s="413"/>
      <c r="AU105" s="413"/>
      <c r="AV105" s="413"/>
      <c r="AW105" s="413"/>
      <c r="AX105" s="413"/>
      <c r="AY105" s="414"/>
      <c r="AZ105" s="413"/>
      <c r="BA105" s="413"/>
      <c r="BB105" s="413"/>
      <c r="BC105" s="413"/>
      <c r="BD105" s="413"/>
      <c r="BE105" s="413"/>
      <c r="BF105" s="413"/>
      <c r="BG105" s="413"/>
      <c r="BH105" s="413"/>
      <c r="BI105" s="414"/>
      <c r="BJ105" s="413"/>
      <c r="BK105" s="413"/>
      <c r="BL105" s="413"/>
      <c r="BM105" s="413"/>
      <c r="BN105" s="413"/>
      <c r="BO105" s="413"/>
      <c r="BP105" s="413"/>
      <c r="BQ105" s="413"/>
      <c r="BR105" s="413"/>
      <c r="BS105" s="413"/>
      <c r="BT105" s="413"/>
      <c r="BU105" s="413"/>
      <c r="BV105" s="413"/>
      <c r="BW105" s="413"/>
      <c r="BX105" s="413"/>
      <c r="BY105" s="413"/>
      <c r="BZ105" s="413"/>
      <c r="CA105" s="413"/>
      <c r="CB105" s="413"/>
      <c r="CC105" s="413"/>
      <c r="CD105" s="413"/>
      <c r="CE105" s="413"/>
      <c r="CF105" s="413"/>
      <c r="CG105" s="413"/>
      <c r="CH105" s="413"/>
      <c r="CI105" s="413"/>
      <c r="CJ105" s="413"/>
      <c r="CK105" s="413"/>
      <c r="CL105" s="413"/>
      <c r="CM105" s="414"/>
      <c r="CN105" s="413"/>
      <c r="CO105" s="413"/>
      <c r="CP105" s="413"/>
      <c r="CQ105" s="413"/>
      <c r="CR105" s="413"/>
      <c r="CS105" s="413"/>
      <c r="CT105" s="413"/>
      <c r="CU105" s="413"/>
      <c r="CV105" s="413"/>
      <c r="CW105" s="414"/>
      <c r="CX105" s="413"/>
      <c r="CY105" s="413"/>
      <c r="CZ105" s="413"/>
      <c r="DA105" s="413"/>
      <c r="DB105" s="413"/>
      <c r="DC105" s="413"/>
      <c r="DD105" s="413"/>
      <c r="DE105" s="413"/>
      <c r="DF105" s="413"/>
      <c r="DG105" s="414"/>
      <c r="DH105" s="413"/>
      <c r="DI105" s="413"/>
      <c r="DJ105" s="413"/>
      <c r="DK105" s="413"/>
      <c r="DL105" s="413"/>
      <c r="DM105" s="413"/>
      <c r="DN105" s="413"/>
      <c r="DO105" s="413"/>
      <c r="DP105" s="413"/>
      <c r="DQ105" s="414"/>
      <c r="DR105" s="413"/>
      <c r="DS105" s="413"/>
      <c r="DT105" s="413"/>
      <c r="DU105" s="413"/>
      <c r="DV105" s="413"/>
      <c r="DW105" s="413"/>
      <c r="DX105" s="413"/>
      <c r="DY105" s="413"/>
      <c r="DZ105" s="413"/>
      <c r="EA105" s="413"/>
      <c r="EB105" s="413"/>
      <c r="EC105" s="413"/>
      <c r="ED105" s="413"/>
      <c r="EE105" s="413"/>
      <c r="EF105" s="413"/>
      <c r="EG105" s="413"/>
      <c r="EH105" s="413"/>
      <c r="EI105" s="413"/>
      <c r="EJ105" s="413"/>
      <c r="EK105" s="413"/>
      <c r="EL105" s="413"/>
      <c r="EM105" s="452"/>
      <c r="EN105" s="413"/>
      <c r="EO105" s="453"/>
      <c r="EP105" s="413"/>
      <c r="EQ105" s="434"/>
      <c r="ER105" s="434"/>
      <c r="ES105" s="434"/>
      <c r="ET105" s="434"/>
      <c r="EU105" s="434"/>
      <c r="EV105" s="434"/>
      <c r="EW105" s="434"/>
      <c r="EX105" s="434"/>
      <c r="EY105" s="434"/>
      <c r="EZ105" s="434"/>
      <c r="FA105" s="434"/>
      <c r="FB105" s="434"/>
      <c r="FC105" s="399"/>
      <c r="FD105" s="399"/>
      <c r="FE105" s="399"/>
      <c r="FF105" s="399"/>
      <c r="FG105" s="415"/>
      <c r="FH105" s="415"/>
      <c r="FI105" s="415"/>
      <c r="FJ105" s="415"/>
      <c r="FK105" s="415"/>
      <c r="FL105" s="415"/>
      <c r="FM105" s="415"/>
    </row>
    <row r="106" spans="1:169">
      <c r="A106" s="410" t="s">
        <v>155</v>
      </c>
      <c r="B106" s="418" t="s">
        <v>1242</v>
      </c>
      <c r="C106" s="412"/>
      <c r="D106" s="412"/>
      <c r="E106" s="412"/>
      <c r="F106" s="412"/>
      <c r="G106" s="412"/>
      <c r="H106" s="412"/>
      <c r="I106" s="412"/>
      <c r="J106" s="412"/>
      <c r="K106" s="412"/>
      <c r="L106" s="412"/>
      <c r="M106" s="413"/>
      <c r="N106" s="413"/>
      <c r="O106" s="413"/>
      <c r="P106" s="413"/>
      <c r="Q106" s="413"/>
      <c r="R106" s="413"/>
      <c r="S106" s="413"/>
      <c r="T106" s="413"/>
      <c r="U106" s="413"/>
      <c r="V106" s="413"/>
      <c r="W106" s="413"/>
      <c r="X106" s="413"/>
      <c r="Y106" s="413"/>
      <c r="Z106" s="413"/>
      <c r="AA106" s="413"/>
      <c r="AB106" s="413"/>
      <c r="AC106" s="413"/>
      <c r="AD106" s="413"/>
      <c r="AE106" s="413"/>
      <c r="AF106" s="413"/>
      <c r="AG106" s="413"/>
      <c r="AH106" s="413"/>
      <c r="AI106" s="413"/>
      <c r="AJ106" s="413"/>
      <c r="AK106" s="413"/>
      <c r="AL106" s="413"/>
      <c r="AM106" s="413"/>
      <c r="AN106" s="413"/>
      <c r="AO106" s="414"/>
      <c r="AP106" s="413"/>
      <c r="AQ106" s="413"/>
      <c r="AR106" s="413"/>
      <c r="AS106" s="413"/>
      <c r="AT106" s="413"/>
      <c r="AU106" s="413"/>
      <c r="AV106" s="413"/>
      <c r="AW106" s="413"/>
      <c r="AX106" s="413"/>
      <c r="AY106" s="414"/>
      <c r="AZ106" s="413"/>
      <c r="BA106" s="413"/>
      <c r="BB106" s="413"/>
      <c r="BC106" s="413"/>
      <c r="BD106" s="413"/>
      <c r="BE106" s="413"/>
      <c r="BF106" s="413"/>
      <c r="BG106" s="413"/>
      <c r="BH106" s="413"/>
      <c r="BI106" s="414"/>
      <c r="BJ106" s="413"/>
      <c r="BK106" s="413"/>
      <c r="BL106" s="413"/>
      <c r="BM106" s="413"/>
      <c r="BN106" s="413"/>
      <c r="BO106" s="413"/>
      <c r="BP106" s="413"/>
      <c r="BQ106" s="413"/>
      <c r="BR106" s="413"/>
      <c r="BS106" s="413"/>
      <c r="BT106" s="413"/>
      <c r="BU106" s="413"/>
      <c r="BV106" s="413"/>
      <c r="BW106" s="413"/>
      <c r="BX106" s="413"/>
      <c r="BY106" s="413"/>
      <c r="BZ106" s="413"/>
      <c r="CA106" s="413"/>
      <c r="CB106" s="413"/>
      <c r="CC106" s="413"/>
      <c r="CD106" s="413"/>
      <c r="CE106" s="413"/>
      <c r="CF106" s="413"/>
      <c r="CG106" s="413"/>
      <c r="CH106" s="413"/>
      <c r="CI106" s="413"/>
      <c r="CJ106" s="413"/>
      <c r="CK106" s="413"/>
      <c r="CL106" s="413"/>
      <c r="CM106" s="414"/>
      <c r="CN106" s="413"/>
      <c r="CO106" s="413"/>
      <c r="CP106" s="413"/>
      <c r="CQ106" s="413"/>
      <c r="CR106" s="413"/>
      <c r="CS106" s="413"/>
      <c r="CT106" s="413"/>
      <c r="CU106" s="413"/>
      <c r="CV106" s="413"/>
      <c r="CW106" s="414"/>
      <c r="CX106" s="413"/>
      <c r="CY106" s="413"/>
      <c r="CZ106" s="413"/>
      <c r="DA106" s="413"/>
      <c r="DB106" s="413"/>
      <c r="DC106" s="413"/>
      <c r="DD106" s="413"/>
      <c r="DE106" s="413"/>
      <c r="DF106" s="413"/>
      <c r="DG106" s="414"/>
      <c r="DH106" s="413"/>
      <c r="DI106" s="413"/>
      <c r="DJ106" s="413"/>
      <c r="DK106" s="413"/>
      <c r="DL106" s="413"/>
      <c r="DM106" s="413"/>
      <c r="DN106" s="413"/>
      <c r="DO106" s="413"/>
      <c r="DP106" s="413"/>
      <c r="DQ106" s="414"/>
      <c r="DR106" s="413"/>
      <c r="DS106" s="413"/>
      <c r="DT106" s="413"/>
      <c r="DU106" s="413"/>
      <c r="DV106" s="413"/>
      <c r="DW106" s="413"/>
      <c r="DX106" s="413"/>
      <c r="DY106" s="413"/>
      <c r="DZ106" s="413"/>
      <c r="EA106" s="413"/>
      <c r="EB106" s="413"/>
      <c r="EC106" s="413"/>
      <c r="ED106" s="413"/>
      <c r="EE106" s="413"/>
      <c r="EF106" s="413"/>
      <c r="EG106" s="413"/>
      <c r="EH106" s="413"/>
      <c r="EI106" s="413"/>
      <c r="EJ106" s="413"/>
      <c r="EK106" s="413"/>
      <c r="EL106" s="413"/>
      <c r="EM106" s="452"/>
      <c r="EN106" s="413"/>
      <c r="EO106" s="453"/>
      <c r="EP106" s="413"/>
      <c r="EQ106" s="434"/>
      <c r="ER106" s="434"/>
      <c r="ES106" s="434"/>
      <c r="ET106" s="434"/>
      <c r="EU106" s="434"/>
      <c r="EV106" s="434"/>
      <c r="EW106" s="434"/>
      <c r="EX106" s="434"/>
      <c r="EY106" s="434"/>
      <c r="EZ106" s="434"/>
      <c r="FA106" s="434"/>
      <c r="FB106" s="434"/>
      <c r="FC106" s="399"/>
      <c r="FD106" s="399"/>
      <c r="FE106" s="399"/>
      <c r="FF106" s="399"/>
      <c r="FG106" s="415"/>
      <c r="FH106" s="415"/>
      <c r="FI106" s="415"/>
      <c r="FJ106" s="415"/>
      <c r="FK106" s="415"/>
      <c r="FL106" s="415"/>
      <c r="FM106" s="415"/>
    </row>
    <row r="107" spans="1:169">
      <c r="A107" s="410" t="s">
        <v>316</v>
      </c>
      <c r="B107" s="418" t="s">
        <v>1202</v>
      </c>
      <c r="C107" s="412"/>
      <c r="D107" s="412"/>
      <c r="E107" s="412"/>
      <c r="F107" s="412"/>
      <c r="G107" s="412"/>
      <c r="H107" s="412"/>
      <c r="I107" s="412"/>
      <c r="J107" s="412"/>
      <c r="K107" s="412"/>
      <c r="L107" s="412"/>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4"/>
      <c r="AP107" s="413"/>
      <c r="AQ107" s="413"/>
      <c r="AR107" s="413"/>
      <c r="AS107" s="413"/>
      <c r="AT107" s="413"/>
      <c r="AU107" s="413"/>
      <c r="AV107" s="413"/>
      <c r="AW107" s="413"/>
      <c r="AX107" s="413"/>
      <c r="AY107" s="414"/>
      <c r="AZ107" s="413"/>
      <c r="BA107" s="413"/>
      <c r="BB107" s="413"/>
      <c r="BC107" s="413"/>
      <c r="BD107" s="413"/>
      <c r="BE107" s="413"/>
      <c r="BF107" s="413"/>
      <c r="BG107" s="413"/>
      <c r="BH107" s="413"/>
      <c r="BI107" s="414"/>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4"/>
      <c r="CN107" s="413"/>
      <c r="CO107" s="413"/>
      <c r="CP107" s="413"/>
      <c r="CQ107" s="413"/>
      <c r="CR107" s="413"/>
      <c r="CS107" s="413"/>
      <c r="CT107" s="413"/>
      <c r="CU107" s="413"/>
      <c r="CV107" s="413"/>
      <c r="CW107" s="414"/>
      <c r="CX107" s="413"/>
      <c r="CY107" s="413"/>
      <c r="CZ107" s="413"/>
      <c r="DA107" s="413"/>
      <c r="DB107" s="413"/>
      <c r="DC107" s="413"/>
      <c r="DD107" s="413"/>
      <c r="DE107" s="413"/>
      <c r="DF107" s="413"/>
      <c r="DG107" s="414"/>
      <c r="DH107" s="413"/>
      <c r="DI107" s="413"/>
      <c r="DJ107" s="413"/>
      <c r="DK107" s="413"/>
      <c r="DL107" s="413"/>
      <c r="DM107" s="413"/>
      <c r="DN107" s="413"/>
      <c r="DO107" s="413"/>
      <c r="DP107" s="413"/>
      <c r="DQ107" s="414"/>
      <c r="DR107" s="413"/>
      <c r="DS107" s="413"/>
      <c r="DT107" s="413"/>
      <c r="DU107" s="413"/>
      <c r="DV107" s="413"/>
      <c r="DW107" s="413"/>
      <c r="DX107" s="413"/>
      <c r="DY107" s="413"/>
      <c r="DZ107" s="413"/>
      <c r="EA107" s="413"/>
      <c r="EB107" s="413"/>
      <c r="EC107" s="413"/>
      <c r="ED107" s="413"/>
      <c r="EE107" s="413"/>
      <c r="EF107" s="413"/>
      <c r="EG107" s="413"/>
      <c r="EH107" s="413"/>
      <c r="EI107" s="413"/>
      <c r="EJ107" s="413"/>
      <c r="EK107" s="413"/>
      <c r="EL107" s="413"/>
      <c r="EM107" s="452"/>
      <c r="EN107" s="413"/>
      <c r="EO107" s="453"/>
      <c r="EP107" s="413"/>
      <c r="EQ107" s="434"/>
      <c r="ER107" s="434"/>
      <c r="ES107" s="434"/>
      <c r="ET107" s="434"/>
      <c r="EU107" s="434"/>
      <c r="EV107" s="434"/>
      <c r="EW107" s="434"/>
      <c r="EX107" s="434"/>
      <c r="EY107" s="434"/>
      <c r="EZ107" s="434"/>
      <c r="FA107" s="434"/>
      <c r="FB107" s="434"/>
      <c r="FC107" s="399"/>
      <c r="FD107" s="399"/>
      <c r="FE107" s="399"/>
      <c r="FF107" s="399"/>
      <c r="FG107" s="415"/>
      <c r="FH107" s="415"/>
      <c r="FI107" s="415"/>
      <c r="FJ107" s="415"/>
      <c r="FK107" s="415"/>
      <c r="FL107" s="415"/>
      <c r="FM107" s="415"/>
    </row>
    <row r="108" spans="1:169">
      <c r="A108" s="410" t="s">
        <v>317</v>
      </c>
      <c r="B108" s="418" t="s">
        <v>1203</v>
      </c>
      <c r="C108" s="412"/>
      <c r="D108" s="412"/>
      <c r="E108" s="412"/>
      <c r="F108" s="412"/>
      <c r="G108" s="412"/>
      <c r="H108" s="412"/>
      <c r="I108" s="412"/>
      <c r="J108" s="412"/>
      <c r="K108" s="412"/>
      <c r="L108" s="412"/>
      <c r="M108" s="413"/>
      <c r="N108" s="413"/>
      <c r="O108" s="413"/>
      <c r="P108" s="413"/>
      <c r="Q108" s="413"/>
      <c r="R108" s="413"/>
      <c r="S108" s="413"/>
      <c r="T108" s="413">
        <f>+N112*0.2326/10*50%</f>
        <v>4.9717042075191079E-2</v>
      </c>
      <c r="U108" s="413"/>
      <c r="V108" s="413"/>
      <c r="W108" s="413">
        <f>+T108</f>
        <v>4.9717042075191079E-2</v>
      </c>
      <c r="X108" s="413"/>
      <c r="Y108" s="413"/>
      <c r="Z108" s="413"/>
      <c r="AA108" s="413"/>
      <c r="AB108" s="413"/>
      <c r="AC108" s="413"/>
      <c r="AD108" s="413">
        <f>+X112*0.2326/10*50%-[3]APR!$F$68</f>
        <v>-0.44346965828217311</v>
      </c>
      <c r="AE108" s="413"/>
      <c r="AF108" s="413"/>
      <c r="AG108" s="413">
        <f>+AD108</f>
        <v>-0.44346965828217311</v>
      </c>
      <c r="AH108" s="413"/>
      <c r="AI108" s="413"/>
      <c r="AJ108" s="413"/>
      <c r="AK108" s="413"/>
      <c r="AL108" s="413"/>
      <c r="AM108" s="413"/>
      <c r="AN108" s="413">
        <f>+AH112*0.2326/10*50%</f>
        <v>5.2503764489155148E-2</v>
      </c>
      <c r="AO108" s="414"/>
      <c r="AP108" s="413"/>
      <c r="AQ108" s="413">
        <f>+AN108</f>
        <v>5.2503764489155148E-2</v>
      </c>
      <c r="AR108" s="413"/>
      <c r="AS108" s="413"/>
      <c r="AT108" s="413"/>
      <c r="AU108" s="413"/>
      <c r="AV108" s="413"/>
      <c r="AW108" s="413"/>
      <c r="AX108" s="413">
        <f>+AR112*0.2326/10*50%</f>
        <v>5.5574293017145213E-2</v>
      </c>
      <c r="AY108" s="414"/>
      <c r="AZ108" s="413"/>
      <c r="BA108" s="413">
        <f>+AX108</f>
        <v>5.5574293017145213E-2</v>
      </c>
      <c r="BB108" s="413"/>
      <c r="BC108" s="413"/>
      <c r="BD108" s="413"/>
      <c r="BE108" s="413"/>
      <c r="BF108" s="413"/>
      <c r="BG108" s="413"/>
      <c r="BH108" s="413">
        <f>+BB112*0.2326/10*50%</f>
        <v>5.8072095096054543E-2</v>
      </c>
      <c r="BI108" s="414"/>
      <c r="BJ108" s="413"/>
      <c r="BK108" s="413">
        <f>+BH108</f>
        <v>5.8072095096054543E-2</v>
      </c>
      <c r="BL108" s="413"/>
      <c r="BM108" s="413"/>
      <c r="BN108" s="413"/>
      <c r="BO108" s="413"/>
      <c r="BP108" s="413"/>
      <c r="BQ108" s="413"/>
      <c r="BR108" s="413">
        <f>+BL112*0.2326/10*50%</f>
        <v>5.8134091332369242E-2</v>
      </c>
      <c r="BS108" s="413"/>
      <c r="BT108" s="413"/>
      <c r="BU108" s="413">
        <f>+BR108</f>
        <v>5.8134091332369242E-2</v>
      </c>
      <c r="BV108" s="413"/>
      <c r="BW108" s="413"/>
      <c r="BX108" s="413"/>
      <c r="BY108" s="413"/>
      <c r="BZ108" s="413"/>
      <c r="CA108" s="413"/>
      <c r="CB108" s="413">
        <f>1.58/12/2</f>
        <v>6.5833333333333341E-2</v>
      </c>
      <c r="CC108" s="413"/>
      <c r="CD108" s="413"/>
      <c r="CE108" s="413">
        <f>+CB108</f>
        <v>6.5833333333333341E-2</v>
      </c>
      <c r="CF108" s="413"/>
      <c r="CG108" s="413"/>
      <c r="CH108" s="413"/>
      <c r="CI108" s="413"/>
      <c r="CJ108" s="413"/>
      <c r="CK108" s="413"/>
      <c r="CL108" s="413">
        <f>1.58/12/2</f>
        <v>6.5833333333333341E-2</v>
      </c>
      <c r="CM108" s="414"/>
      <c r="CN108" s="413"/>
      <c r="CO108" s="413">
        <f>+CL108</f>
        <v>6.5833333333333341E-2</v>
      </c>
      <c r="CP108" s="413"/>
      <c r="CQ108" s="413"/>
      <c r="CR108" s="413"/>
      <c r="CS108" s="413"/>
      <c r="CT108" s="413"/>
      <c r="CU108" s="413"/>
      <c r="CV108" s="413">
        <f>1.58/12/2</f>
        <v>6.5833333333333341E-2</v>
      </c>
      <c r="CW108" s="414"/>
      <c r="CX108" s="413"/>
      <c r="CY108" s="413">
        <f>+CV108</f>
        <v>6.5833333333333341E-2</v>
      </c>
      <c r="CZ108" s="413"/>
      <c r="DA108" s="413"/>
      <c r="DB108" s="413"/>
      <c r="DC108" s="413"/>
      <c r="DD108" s="413"/>
      <c r="DE108" s="413"/>
      <c r="DF108" s="413">
        <f>1.58/12/2</f>
        <v>6.5833333333333341E-2</v>
      </c>
      <c r="DG108" s="414"/>
      <c r="DH108" s="413"/>
      <c r="DI108" s="413">
        <f>+DF108</f>
        <v>6.5833333333333341E-2</v>
      </c>
      <c r="DJ108" s="413"/>
      <c r="DK108" s="413"/>
      <c r="DL108" s="413"/>
      <c r="DM108" s="413"/>
      <c r="DN108" s="413"/>
      <c r="DO108" s="413"/>
      <c r="DP108" s="413">
        <f>1.58/12/2</f>
        <v>6.5833333333333341E-2</v>
      </c>
      <c r="DQ108" s="414"/>
      <c r="DR108" s="413"/>
      <c r="DS108" s="413">
        <f>+DP108</f>
        <v>6.5833333333333341E-2</v>
      </c>
      <c r="DT108" s="413"/>
      <c r="DU108" s="413"/>
      <c r="DV108" s="413"/>
      <c r="DW108" s="413"/>
      <c r="DX108" s="413"/>
      <c r="DY108" s="413"/>
      <c r="DZ108" s="413">
        <f>1.58/12/2</f>
        <v>6.5833333333333341E-2</v>
      </c>
      <c r="EA108" s="413"/>
      <c r="EB108" s="413"/>
      <c r="EC108" s="413">
        <f>+DZ108</f>
        <v>6.5833333333333341E-2</v>
      </c>
      <c r="ED108" s="413"/>
      <c r="EE108" s="413"/>
      <c r="EF108" s="413"/>
      <c r="EG108" s="413"/>
      <c r="EH108" s="413"/>
      <c r="EI108" s="413"/>
      <c r="EJ108" s="413"/>
      <c r="EK108" s="413">
        <f t="shared" ref="EK108" si="48">T108+AD108+AN108+AX108+BH108+BR108+CB108+CL108+CV108+DF108+DP108+DZ108</f>
        <v>0.22553162772774221</v>
      </c>
      <c r="EL108" s="413"/>
      <c r="EM108" s="413"/>
      <c r="EN108" s="807">
        <f t="shared" ref="EN108" si="49">+EG108+EI108+EK108+EL108</f>
        <v>0.22553162772774221</v>
      </c>
      <c r="EO108" s="453"/>
      <c r="EP108" s="413"/>
      <c r="EQ108" s="434"/>
      <c r="ER108" s="434"/>
      <c r="ES108" s="434"/>
      <c r="ET108" s="434"/>
      <c r="EU108" s="434"/>
      <c r="EV108" s="434"/>
      <c r="EW108" s="434"/>
      <c r="EX108" s="434"/>
      <c r="EY108" s="434"/>
      <c r="EZ108" s="434"/>
      <c r="FA108" s="434"/>
      <c r="FB108" s="434"/>
      <c r="FC108" s="399"/>
      <c r="FD108" s="399"/>
      <c r="FE108" s="399"/>
      <c r="FF108" s="399"/>
      <c r="FG108" s="415"/>
      <c r="FH108" s="415"/>
      <c r="FI108" s="415"/>
      <c r="FJ108" s="415"/>
      <c r="FK108" s="415"/>
      <c r="FL108" s="415"/>
      <c r="FM108" s="415"/>
    </row>
    <row r="109" spans="1:169">
      <c r="A109" s="410" t="s">
        <v>1008</v>
      </c>
      <c r="B109" s="418" t="s">
        <v>603</v>
      </c>
      <c r="C109" s="412"/>
      <c r="D109" s="412"/>
      <c r="E109" s="412"/>
      <c r="F109" s="412"/>
      <c r="G109" s="412"/>
      <c r="H109" s="412"/>
      <c r="I109" s="412"/>
      <c r="J109" s="412"/>
      <c r="K109" s="412"/>
      <c r="L109" s="412"/>
      <c r="M109" s="413"/>
      <c r="N109" s="413"/>
      <c r="O109" s="413"/>
      <c r="P109" s="413"/>
      <c r="Q109" s="413"/>
      <c r="R109" s="413"/>
      <c r="S109" s="413"/>
      <c r="T109" s="413"/>
      <c r="U109" s="413"/>
      <c r="V109" s="413"/>
      <c r="W109" s="413"/>
      <c r="X109" s="413"/>
      <c r="Y109" s="413"/>
      <c r="Z109" s="413"/>
      <c r="AA109" s="413"/>
      <c r="AB109" s="413"/>
      <c r="AC109" s="413"/>
      <c r="AD109" s="413"/>
      <c r="AE109" s="413"/>
      <c r="AF109" s="413"/>
      <c r="AG109" s="413"/>
      <c r="AH109" s="413"/>
      <c r="AI109" s="413"/>
      <c r="AJ109" s="413"/>
      <c r="AK109" s="413"/>
      <c r="AL109" s="413"/>
      <c r="AM109" s="413"/>
      <c r="AN109" s="413"/>
      <c r="AO109" s="414"/>
      <c r="AP109" s="413"/>
      <c r="AQ109" s="413"/>
      <c r="AR109" s="413"/>
      <c r="AS109" s="413"/>
      <c r="AT109" s="413"/>
      <c r="AU109" s="413"/>
      <c r="AV109" s="413"/>
      <c r="AW109" s="413"/>
      <c r="AX109" s="413"/>
      <c r="AY109" s="414"/>
      <c r="AZ109" s="413"/>
      <c r="BA109" s="413"/>
      <c r="BB109" s="413"/>
      <c r="BC109" s="413"/>
      <c r="BD109" s="413"/>
      <c r="BE109" s="413"/>
      <c r="BF109" s="413"/>
      <c r="BG109" s="413"/>
      <c r="BH109" s="413"/>
      <c r="BI109" s="414"/>
      <c r="BJ109" s="413"/>
      <c r="BK109" s="413"/>
      <c r="BL109" s="413"/>
      <c r="BM109" s="413"/>
      <c r="BN109" s="413"/>
      <c r="BO109" s="413"/>
      <c r="BP109" s="413"/>
      <c r="BQ109" s="413"/>
      <c r="BR109" s="413"/>
      <c r="BS109" s="413"/>
      <c r="BT109" s="413"/>
      <c r="BU109" s="413"/>
      <c r="BV109" s="413"/>
      <c r="BW109" s="413"/>
      <c r="BX109" s="413"/>
      <c r="BY109" s="413"/>
      <c r="BZ109" s="413"/>
      <c r="CA109" s="413"/>
      <c r="CB109" s="413"/>
      <c r="CC109" s="413"/>
      <c r="CD109" s="413"/>
      <c r="CE109" s="413"/>
      <c r="CF109" s="413"/>
      <c r="CG109" s="413"/>
      <c r="CH109" s="413"/>
      <c r="CI109" s="413"/>
      <c r="CJ109" s="413"/>
      <c r="CK109" s="413"/>
      <c r="CL109" s="413"/>
      <c r="CM109" s="414"/>
      <c r="CN109" s="413"/>
      <c r="CO109" s="413"/>
      <c r="CP109" s="413"/>
      <c r="CQ109" s="413"/>
      <c r="CR109" s="413"/>
      <c r="CS109" s="413"/>
      <c r="CT109" s="413"/>
      <c r="CU109" s="413"/>
      <c r="CV109" s="413"/>
      <c r="CW109" s="414"/>
      <c r="CX109" s="413"/>
      <c r="CY109" s="413"/>
      <c r="CZ109" s="413"/>
      <c r="DA109" s="413"/>
      <c r="DB109" s="413"/>
      <c r="DC109" s="413"/>
      <c r="DD109" s="413"/>
      <c r="DE109" s="413"/>
      <c r="DF109" s="413"/>
      <c r="DG109" s="414"/>
      <c r="DH109" s="413"/>
      <c r="DI109" s="413"/>
      <c r="DJ109" s="413"/>
      <c r="DK109" s="413"/>
      <c r="DL109" s="413"/>
      <c r="DM109" s="413"/>
      <c r="DN109" s="413"/>
      <c r="DO109" s="413"/>
      <c r="DP109" s="413"/>
      <c r="DQ109" s="414"/>
      <c r="DR109" s="413"/>
      <c r="DS109" s="413"/>
      <c r="DT109" s="413"/>
      <c r="DU109" s="413"/>
      <c r="DV109" s="413"/>
      <c r="DW109" s="413"/>
      <c r="DX109" s="413"/>
      <c r="DY109" s="413"/>
      <c r="DZ109" s="413"/>
      <c r="EA109" s="413"/>
      <c r="EB109" s="413"/>
      <c r="EC109" s="413"/>
      <c r="ED109" s="413"/>
      <c r="EE109" s="413"/>
      <c r="EF109" s="413"/>
      <c r="EG109" s="413"/>
      <c r="EH109" s="413"/>
      <c r="EI109" s="413"/>
      <c r="EJ109" s="413"/>
      <c r="EK109" s="413"/>
      <c r="EL109" s="413"/>
      <c r="EM109" s="452"/>
      <c r="EN109" s="413"/>
      <c r="EO109" s="453"/>
      <c r="EP109" s="413"/>
      <c r="EQ109" s="434"/>
      <c r="ER109" s="434"/>
      <c r="ES109" s="434"/>
      <c r="ET109" s="434"/>
      <c r="EU109" s="434"/>
      <c r="EV109" s="434"/>
      <c r="EW109" s="434"/>
      <c r="EX109" s="434"/>
      <c r="EY109" s="434"/>
      <c r="EZ109" s="434"/>
      <c r="FA109" s="434"/>
      <c r="FB109" s="434"/>
      <c r="FC109" s="399"/>
      <c r="FD109" s="399"/>
      <c r="FE109" s="399"/>
      <c r="FF109" s="399"/>
      <c r="FG109" s="415"/>
      <c r="FH109" s="415"/>
      <c r="FI109" s="415"/>
      <c r="FJ109" s="415"/>
      <c r="FK109" s="415"/>
      <c r="FL109" s="415"/>
      <c r="FM109" s="415"/>
    </row>
    <row r="110" spans="1:169">
      <c r="A110" s="410"/>
      <c r="B110" s="464" t="s">
        <v>1353</v>
      </c>
      <c r="C110" s="412"/>
      <c r="D110" s="412"/>
      <c r="E110" s="412"/>
      <c r="F110" s="412"/>
      <c r="G110" s="412"/>
      <c r="H110" s="412"/>
      <c r="I110" s="412"/>
      <c r="J110" s="412"/>
      <c r="K110" s="412"/>
      <c r="L110" s="412"/>
      <c r="M110" s="413"/>
      <c r="N110" s="413"/>
      <c r="O110" s="413"/>
      <c r="P110" s="413"/>
      <c r="Q110" s="413"/>
      <c r="R110" s="413"/>
      <c r="S110" s="413"/>
      <c r="T110" s="413"/>
      <c r="U110" s="413"/>
      <c r="V110" s="413"/>
      <c r="W110" s="413"/>
      <c r="X110" s="413"/>
      <c r="Y110" s="413"/>
      <c r="Z110" s="413"/>
      <c r="AA110" s="413"/>
      <c r="AB110" s="413"/>
      <c r="AC110" s="413"/>
      <c r="AD110" s="413"/>
      <c r="AE110" s="413"/>
      <c r="AF110" s="413"/>
      <c r="AG110" s="413"/>
      <c r="AH110" s="413"/>
      <c r="AI110" s="413"/>
      <c r="AJ110" s="413"/>
      <c r="AK110" s="413"/>
      <c r="AL110" s="413"/>
      <c r="AM110" s="413"/>
      <c r="AN110" s="413"/>
      <c r="AO110" s="414"/>
      <c r="AP110" s="413"/>
      <c r="AQ110" s="413"/>
      <c r="AR110" s="413"/>
      <c r="AS110" s="413"/>
      <c r="AT110" s="413"/>
      <c r="AU110" s="413"/>
      <c r="AV110" s="413"/>
      <c r="AW110" s="413"/>
      <c r="AX110" s="413"/>
      <c r="AY110" s="414"/>
      <c r="AZ110" s="413"/>
      <c r="BA110" s="413"/>
      <c r="BB110" s="413"/>
      <c r="BC110" s="413"/>
      <c r="BD110" s="413"/>
      <c r="BE110" s="413"/>
      <c r="BF110" s="413"/>
      <c r="BG110" s="413"/>
      <c r="BH110" s="413"/>
      <c r="BI110" s="414"/>
      <c r="BJ110" s="413"/>
      <c r="BK110" s="413"/>
      <c r="BL110" s="413"/>
      <c r="BM110" s="413"/>
      <c r="BN110" s="413"/>
      <c r="BO110" s="413"/>
      <c r="BP110" s="413"/>
      <c r="BQ110" s="413"/>
      <c r="BR110" s="413"/>
      <c r="BS110" s="413"/>
      <c r="BT110" s="413"/>
      <c r="BU110" s="413"/>
      <c r="BV110" s="413"/>
      <c r="BW110" s="413"/>
      <c r="BX110" s="413"/>
      <c r="BY110" s="413"/>
      <c r="BZ110" s="413"/>
      <c r="CA110" s="413"/>
      <c r="CB110" s="413"/>
      <c r="CC110" s="413"/>
      <c r="CD110" s="413"/>
      <c r="CE110" s="413"/>
      <c r="CF110" s="413"/>
      <c r="CG110" s="413"/>
      <c r="CH110" s="413"/>
      <c r="CI110" s="413"/>
      <c r="CJ110" s="413"/>
      <c r="CK110" s="413"/>
      <c r="CL110" s="413"/>
      <c r="CM110" s="414"/>
      <c r="CN110" s="413"/>
      <c r="CO110" s="413"/>
      <c r="CP110" s="413"/>
      <c r="CQ110" s="413"/>
      <c r="CR110" s="413"/>
      <c r="CS110" s="413"/>
      <c r="CT110" s="413"/>
      <c r="CU110" s="413"/>
      <c r="CV110" s="413"/>
      <c r="CW110" s="414"/>
      <c r="CX110" s="413"/>
      <c r="CY110" s="413"/>
      <c r="CZ110" s="413"/>
      <c r="DA110" s="413"/>
      <c r="DB110" s="413"/>
      <c r="DC110" s="413"/>
      <c r="DD110" s="413"/>
      <c r="DE110" s="413"/>
      <c r="DF110" s="413"/>
      <c r="DG110" s="414"/>
      <c r="DH110" s="413"/>
      <c r="DI110" s="413"/>
      <c r="DJ110" s="413"/>
      <c r="DK110" s="413"/>
      <c r="DL110" s="413"/>
      <c r="DM110" s="413"/>
      <c r="DN110" s="413"/>
      <c r="DO110" s="413"/>
      <c r="DP110" s="413"/>
      <c r="DQ110" s="414"/>
      <c r="DR110" s="413"/>
      <c r="DS110" s="413"/>
      <c r="DT110" s="413"/>
      <c r="DU110" s="413"/>
      <c r="DV110" s="413"/>
      <c r="DW110" s="413"/>
      <c r="DX110" s="413"/>
      <c r="DY110" s="413"/>
      <c r="DZ110" s="413"/>
      <c r="EA110" s="413"/>
      <c r="EB110" s="413"/>
      <c r="EC110" s="413"/>
      <c r="ED110" s="413"/>
      <c r="EE110" s="413"/>
      <c r="EF110" s="413"/>
      <c r="EG110" s="413"/>
      <c r="EH110" s="413"/>
      <c r="EI110" s="413"/>
      <c r="EJ110" s="413"/>
      <c r="EK110" s="413"/>
      <c r="EL110" s="413"/>
      <c r="EM110" s="452"/>
      <c r="EN110" s="413"/>
      <c r="EO110" s="453"/>
      <c r="EP110" s="413"/>
      <c r="EQ110" s="434"/>
      <c r="ER110" s="434"/>
      <c r="ES110" s="434"/>
      <c r="ET110" s="434"/>
      <c r="EU110" s="434"/>
      <c r="EV110" s="434"/>
      <c r="EW110" s="434"/>
      <c r="EX110" s="434"/>
      <c r="EY110" s="434"/>
      <c r="EZ110" s="434"/>
      <c r="FA110" s="434"/>
      <c r="FB110" s="434"/>
      <c r="FC110" s="399"/>
      <c r="FD110" s="399"/>
      <c r="FE110" s="399"/>
      <c r="FF110" s="399"/>
      <c r="FG110" s="415"/>
      <c r="FH110" s="415"/>
      <c r="FI110" s="415"/>
      <c r="FJ110" s="415"/>
      <c r="FK110" s="415"/>
      <c r="FL110" s="415"/>
      <c r="FM110" s="415"/>
    </row>
    <row r="111" spans="1:169">
      <c r="A111" s="410"/>
      <c r="B111" s="464" t="s">
        <v>1354</v>
      </c>
      <c r="C111" s="412"/>
      <c r="D111" s="412"/>
      <c r="E111" s="412"/>
      <c r="F111" s="412"/>
      <c r="G111" s="412"/>
      <c r="H111" s="412"/>
      <c r="I111" s="412"/>
      <c r="J111" s="412"/>
      <c r="K111" s="412"/>
      <c r="L111" s="412"/>
      <c r="M111" s="413"/>
      <c r="N111" s="413"/>
      <c r="O111" s="413"/>
      <c r="P111" s="413"/>
      <c r="Q111" s="413"/>
      <c r="R111" s="413"/>
      <c r="S111" s="413"/>
      <c r="T111" s="413"/>
      <c r="U111" s="413"/>
      <c r="V111" s="413"/>
      <c r="W111" s="413"/>
      <c r="X111" s="413"/>
      <c r="Y111" s="413"/>
      <c r="Z111" s="413"/>
      <c r="AA111" s="413"/>
      <c r="AB111" s="413"/>
      <c r="AC111" s="413"/>
      <c r="AD111" s="413"/>
      <c r="AE111" s="413"/>
      <c r="AF111" s="413"/>
      <c r="AG111" s="413"/>
      <c r="AH111" s="413"/>
      <c r="AI111" s="413"/>
      <c r="AJ111" s="413"/>
      <c r="AK111" s="413"/>
      <c r="AL111" s="413"/>
      <c r="AM111" s="413"/>
      <c r="AN111" s="413"/>
      <c r="AO111" s="414"/>
      <c r="AP111" s="413"/>
      <c r="AQ111" s="413"/>
      <c r="AR111" s="413"/>
      <c r="AS111" s="413"/>
      <c r="AT111" s="413"/>
      <c r="AU111" s="413"/>
      <c r="AV111" s="413"/>
      <c r="AW111" s="413"/>
      <c r="AX111" s="413"/>
      <c r="AY111" s="414"/>
      <c r="AZ111" s="413"/>
      <c r="BA111" s="413"/>
      <c r="BB111" s="413"/>
      <c r="BC111" s="413"/>
      <c r="BD111" s="413"/>
      <c r="BE111" s="413"/>
      <c r="BF111" s="413"/>
      <c r="BG111" s="413"/>
      <c r="BH111" s="413"/>
      <c r="BI111" s="414"/>
      <c r="BJ111" s="413"/>
      <c r="BK111" s="413"/>
      <c r="BL111" s="413"/>
      <c r="BM111" s="413"/>
      <c r="BN111" s="413"/>
      <c r="BO111" s="413"/>
      <c r="BP111" s="413"/>
      <c r="BQ111" s="413"/>
      <c r="BR111" s="413"/>
      <c r="BS111" s="413"/>
      <c r="BT111" s="413"/>
      <c r="BU111" s="413"/>
      <c r="BV111" s="413"/>
      <c r="BW111" s="413"/>
      <c r="BX111" s="413"/>
      <c r="BY111" s="413"/>
      <c r="BZ111" s="413"/>
      <c r="CA111" s="413"/>
      <c r="CB111" s="413"/>
      <c r="CC111" s="413"/>
      <c r="CD111" s="413"/>
      <c r="CE111" s="413"/>
      <c r="CF111" s="413"/>
      <c r="CG111" s="413"/>
      <c r="CH111" s="413"/>
      <c r="CI111" s="413"/>
      <c r="CJ111" s="413"/>
      <c r="CK111" s="413"/>
      <c r="CL111" s="413"/>
      <c r="CM111" s="414"/>
      <c r="CN111" s="413"/>
      <c r="CO111" s="413"/>
      <c r="CP111" s="413"/>
      <c r="CQ111" s="413"/>
      <c r="CR111" s="413"/>
      <c r="CS111" s="413"/>
      <c r="CT111" s="413"/>
      <c r="CU111" s="413"/>
      <c r="CV111" s="413"/>
      <c r="CW111" s="414"/>
      <c r="CX111" s="413"/>
      <c r="CY111" s="413"/>
      <c r="CZ111" s="413"/>
      <c r="DA111" s="413"/>
      <c r="DB111" s="413"/>
      <c r="DC111" s="413"/>
      <c r="DD111" s="413"/>
      <c r="DE111" s="413"/>
      <c r="DF111" s="413"/>
      <c r="DG111" s="414"/>
      <c r="DH111" s="413"/>
      <c r="DI111" s="413"/>
      <c r="DJ111" s="413"/>
      <c r="DK111" s="413"/>
      <c r="DL111" s="413"/>
      <c r="DM111" s="413"/>
      <c r="DN111" s="413"/>
      <c r="DO111" s="413"/>
      <c r="DP111" s="413"/>
      <c r="DQ111" s="414"/>
      <c r="DR111" s="413"/>
      <c r="DS111" s="413"/>
      <c r="DT111" s="413"/>
      <c r="DU111" s="413"/>
      <c r="DV111" s="413"/>
      <c r="DW111" s="413"/>
      <c r="DX111" s="413"/>
      <c r="DY111" s="413"/>
      <c r="DZ111" s="413"/>
      <c r="EA111" s="413"/>
      <c r="EB111" s="413"/>
      <c r="EC111" s="413"/>
      <c r="ED111" s="413"/>
      <c r="EE111" s="413"/>
      <c r="EF111" s="413"/>
      <c r="EG111" s="413"/>
      <c r="EH111" s="413"/>
      <c r="EI111" s="413"/>
      <c r="EJ111" s="413"/>
      <c r="EK111" s="413"/>
      <c r="EL111" s="413"/>
      <c r="EM111" s="452"/>
      <c r="EN111" s="413"/>
      <c r="EO111" s="453"/>
      <c r="EP111" s="413"/>
      <c r="EQ111" s="434"/>
      <c r="ER111" s="434"/>
      <c r="ES111" s="434"/>
      <c r="ET111" s="434"/>
      <c r="EU111" s="434"/>
      <c r="EV111" s="434"/>
      <c r="EW111" s="434"/>
      <c r="EX111" s="434"/>
      <c r="EY111" s="434"/>
      <c r="EZ111" s="434"/>
      <c r="FA111" s="434"/>
      <c r="FB111" s="434"/>
      <c r="FC111" s="399"/>
      <c r="FD111" s="399"/>
      <c r="FE111" s="399"/>
      <c r="FF111" s="399"/>
      <c r="FG111" s="415"/>
      <c r="FH111" s="415"/>
      <c r="FI111" s="415"/>
      <c r="FJ111" s="415"/>
      <c r="FK111" s="415"/>
      <c r="FL111" s="415"/>
      <c r="FM111" s="415"/>
    </row>
    <row r="112" spans="1:169">
      <c r="A112" s="410"/>
      <c r="B112" s="419" t="s">
        <v>79</v>
      </c>
      <c r="C112" s="412"/>
      <c r="D112" s="412"/>
      <c r="E112" s="412"/>
      <c r="F112" s="412"/>
      <c r="G112" s="412"/>
      <c r="H112" s="412"/>
      <c r="I112" s="412"/>
      <c r="J112" s="807">
        <f>SUM(J9:J109)</f>
        <v>63.796627188402638</v>
      </c>
      <c r="K112" s="412"/>
      <c r="L112" s="412"/>
      <c r="M112" s="807">
        <f>SUM(M9:M109)</f>
        <v>61.767894443811421</v>
      </c>
      <c r="N112" s="807">
        <f>SUM(N9:N109)</f>
        <v>4.2748961371617433</v>
      </c>
      <c r="O112" s="413"/>
      <c r="P112" s="413"/>
      <c r="Q112" s="807">
        <f>+R112/N112*10</f>
        <v>7.5989325957209619</v>
      </c>
      <c r="R112" s="807">
        <f>SUM(R9:R109)</f>
        <v>3.2484647600000001</v>
      </c>
      <c r="S112" s="807">
        <f>IFERROR(+T112/N112*10,0)</f>
        <v>-1.2142743151403232</v>
      </c>
      <c r="T112" s="807">
        <f>SUM(T9:T109)</f>
        <v>-0.51908965792480888</v>
      </c>
      <c r="U112" s="413"/>
      <c r="V112" s="807">
        <f>IFERROR(+W112/N112*10,0)</f>
        <v>6.3846582805806387</v>
      </c>
      <c r="W112" s="807">
        <f>SUM(W9:W109)</f>
        <v>2.7293751020751911</v>
      </c>
      <c r="X112" s="807">
        <f>SUM(X9:X109)</f>
        <v>4.516796364387524</v>
      </c>
      <c r="Y112" s="413"/>
      <c r="Z112" s="413"/>
      <c r="AA112" s="807">
        <f>+AB112/X112*10</f>
        <v>5.8117833841197708</v>
      </c>
      <c r="AB112" s="807">
        <f>SUM(AB9:AB109)</f>
        <v>2.6250642060000002</v>
      </c>
      <c r="AC112" s="807">
        <f>IFERROR(+AD112/X112*10,0)</f>
        <v>-1.0218958771783411</v>
      </c>
      <c r="AD112" s="807">
        <f>SUM(AD9:AD109)</f>
        <v>-0.46156955828217311</v>
      </c>
      <c r="AE112" s="413"/>
      <c r="AF112" s="807">
        <f>IFERROR(+AG112/X112*10,0)</f>
        <v>4.7898875069414295</v>
      </c>
      <c r="AG112" s="807">
        <f>SUM(AG9:AG109)</f>
        <v>2.163494647717827</v>
      </c>
      <c r="AH112" s="807">
        <f>SUM(AH9:AH109)</f>
        <v>4.5145111340632109</v>
      </c>
      <c r="AI112" s="413"/>
      <c r="AJ112" s="413"/>
      <c r="AK112" s="807">
        <f>+AL112/AH112*10</f>
        <v>5.8007433634193646</v>
      </c>
      <c r="AL112" s="807">
        <f>SUM(AL9:AL109)</f>
        <v>2.6187520500000003</v>
      </c>
      <c r="AM112" s="807">
        <f>IFERROR(+AN112/AH112*10,0)</f>
        <v>8.6950864276250386E-2</v>
      </c>
      <c r="AN112" s="807">
        <f>SUM(AN9:AN109)</f>
        <v>3.9254064489155145E-2</v>
      </c>
      <c r="AO112" s="413"/>
      <c r="AP112" s="807">
        <f>IFERROR(+AQ112/AH112*10,0)</f>
        <v>5.8876942276956168</v>
      </c>
      <c r="AQ112" s="807">
        <f>SUM(AQ9:AQ109)</f>
        <v>2.6580061144891558</v>
      </c>
      <c r="AR112" s="807">
        <f>SUM(AR9:AR109)</f>
        <v>4.7785290642429246</v>
      </c>
      <c r="AS112" s="413"/>
      <c r="AT112" s="413"/>
      <c r="AU112" s="807">
        <f>+AV112/AR112*10</f>
        <v>5.8061230426764538</v>
      </c>
      <c r="AV112" s="807">
        <f>SUM(AV9:AV109)</f>
        <v>2.7744727710000001</v>
      </c>
      <c r="AW112" s="807">
        <f>IFERROR(+AX112/AR112*10,0)</f>
        <v>9.1857541153408315E-2</v>
      </c>
      <c r="AX112" s="807">
        <f>SUM(AX9:AX109)</f>
        <v>4.3894393017145213E-2</v>
      </c>
      <c r="AY112" s="413"/>
      <c r="AZ112" s="807">
        <f>IFERROR(+BA112/AR112*10,0)</f>
        <v>5.8979805838298631</v>
      </c>
      <c r="BA112" s="807">
        <f>SUM(BA9:BA109)</f>
        <v>2.818367164017145</v>
      </c>
      <c r="BB112" s="807">
        <f>SUM(BB9:BB109)</f>
        <v>4.993301384011569</v>
      </c>
      <c r="BC112" s="413"/>
      <c r="BD112" s="413"/>
      <c r="BE112" s="807">
        <f>+BF112/BB112*10</f>
        <v>5.1418181710820834</v>
      </c>
      <c r="BF112" s="807">
        <f>SUM(BF9:BF109)</f>
        <v>2.5674647790000003</v>
      </c>
      <c r="BG112" s="807">
        <f>IFERROR(+BH112/BB112*10,0)</f>
        <v>0.1245256200540017</v>
      </c>
      <c r="BH112" s="807">
        <f>SUM(BH9:BH109)</f>
        <v>6.2179395096054545E-2</v>
      </c>
      <c r="BI112" s="413"/>
      <c r="BJ112" s="807">
        <f>IFERROR(+BK112/BB112*10,0)</f>
        <v>5.2663437911360855</v>
      </c>
      <c r="BK112" s="807">
        <f>SUM(BK9:BK109)</f>
        <v>2.6296441740960548</v>
      </c>
      <c r="BL112" s="807">
        <f>SUM(BL9:BL109)</f>
        <v>4.9986321008056098</v>
      </c>
      <c r="BM112" s="413"/>
      <c r="BN112" s="413"/>
      <c r="BO112" s="807">
        <f>+BP112/BL112*10</f>
        <v>5.0653077660825128</v>
      </c>
      <c r="BP112" s="807">
        <f>SUM(BP9:BP109)</f>
        <v>2.5319610000000004</v>
      </c>
      <c r="BQ112" s="807">
        <f>IFERROR(+BR112/BL112*10,0)</f>
        <v>0.11798826187441158</v>
      </c>
      <c r="BR112" s="807">
        <f>SUM(BR9:BR109)</f>
        <v>5.8977991332369244E-2</v>
      </c>
      <c r="BS112" s="413"/>
      <c r="BT112" s="807">
        <f>IFERROR(+BU112/BL112*10,0)</f>
        <v>5.1832960279569251</v>
      </c>
      <c r="BU112" s="807">
        <f>SUM(BU9:BU109)</f>
        <v>2.5909389913323695</v>
      </c>
      <c r="BV112" s="807">
        <f>SUM(BV9:BV109)</f>
        <v>5.0692588669308503</v>
      </c>
      <c r="BW112" s="413"/>
      <c r="BX112" s="413"/>
      <c r="BY112" s="807">
        <f>+BZ112/BV112*10</f>
        <v>4.8205119607148559</v>
      </c>
      <c r="BZ112" s="807">
        <f>SUM(BZ9:BZ109)</f>
        <v>2.4436423</v>
      </c>
      <c r="CA112" s="807">
        <f>IFERROR(+CB112/BV112*10,0)</f>
        <v>0.13103164599985975</v>
      </c>
      <c r="CB112" s="807">
        <f>SUM(CB9:CB109)</f>
        <v>6.6423333333333334E-2</v>
      </c>
      <c r="CC112" s="413"/>
      <c r="CD112" s="807">
        <f>IFERROR(+CE112/BV112*10,0)</f>
        <v>4.9515436067147149</v>
      </c>
      <c r="CE112" s="807">
        <f>SUM(CE9:CE109)</f>
        <v>2.5100656333333333</v>
      </c>
      <c r="CF112" s="807">
        <f>SUM(CF9:CF109)</f>
        <v>5.5917425119820816</v>
      </c>
      <c r="CG112" s="413"/>
      <c r="CH112" s="413"/>
      <c r="CI112" s="807">
        <f>+CJ112/CF112*10</f>
        <v>5.4049534436771349</v>
      </c>
      <c r="CJ112" s="807">
        <f>SUM(CJ9:CJ109)</f>
        <v>3.0223107946293384</v>
      </c>
      <c r="CK112" s="807">
        <f>IFERROR(+CL112/CF112*10,0)</f>
        <v>8.4110978344497933E-2</v>
      </c>
      <c r="CL112" s="807">
        <f>SUM(CL9:CL109)</f>
        <v>4.7032693333333334E-2</v>
      </c>
      <c r="CM112" s="413"/>
      <c r="CN112" s="807">
        <f>IFERROR(+CO112/CF112*10,0)</f>
        <v>5.4890644220216336</v>
      </c>
      <c r="CO112" s="807">
        <f>SUM(CO9:CO109)</f>
        <v>3.069343487962672</v>
      </c>
      <c r="CP112" s="807">
        <f>SUM(CP9:CP109)</f>
        <v>5.7781339290481508</v>
      </c>
      <c r="CQ112" s="413"/>
      <c r="CR112" s="413"/>
      <c r="CS112" s="807">
        <f>+CT112/CP112*10</f>
        <v>5.4049534436771367</v>
      </c>
      <c r="CT112" s="807">
        <f>SUM(CT9:CT109)</f>
        <v>3.1230544877836501</v>
      </c>
      <c r="CU112" s="807">
        <f>IFERROR(+CV112/CP112*10,0)</f>
        <v>8.0313135526399862E-2</v>
      </c>
      <c r="CV112" s="807">
        <f>SUM(CV9:CV109)</f>
        <v>4.640600533333334E-2</v>
      </c>
      <c r="CW112" s="413"/>
      <c r="CX112" s="807">
        <f>IFERROR(+CY112/CP112*10,0)</f>
        <v>5.485266579203536</v>
      </c>
      <c r="CY112" s="807">
        <f>SUM(CY9:CY109)</f>
        <v>3.1694604931169836</v>
      </c>
      <c r="CZ112" s="807">
        <f>SUM(CZ9:CZ109)</f>
        <v>6.6411732952093123</v>
      </c>
      <c r="DA112" s="413"/>
      <c r="DB112" s="413"/>
      <c r="DC112" s="807">
        <f>+DD112/CZ112*10</f>
        <v>5.4757837945183843</v>
      </c>
      <c r="DD112" s="807">
        <f>SUM(DD9:DD109)</f>
        <v>3.6365629106495412</v>
      </c>
      <c r="DE112" s="807">
        <f>IFERROR(+DF112/CZ112*10,0)</f>
        <v>6.9876215045929987E-2</v>
      </c>
      <c r="DF112" s="807">
        <f>SUM(DF9:DF109)</f>
        <v>4.640600533333334E-2</v>
      </c>
      <c r="DG112" s="413"/>
      <c r="DH112" s="807">
        <f>IFERROR(+DI112/CZ112*10,0)</f>
        <v>5.5456600095643154</v>
      </c>
      <c r="DI112" s="807">
        <f>SUM(DI9:DI109)</f>
        <v>3.6829689159828747</v>
      </c>
      <c r="DJ112" s="807">
        <f>SUM(DJ9:DJ109)</f>
        <v>5.9984791053503468</v>
      </c>
      <c r="DK112" s="413"/>
      <c r="DL112" s="413"/>
      <c r="DM112" s="807">
        <f>+DN112/DJ112*10</f>
        <v>5.4757837945183843</v>
      </c>
      <c r="DN112" s="807">
        <f>SUM(DN9:DN109)</f>
        <v>3.2846374676834564</v>
      </c>
      <c r="DO112" s="807">
        <f>IFERROR(+DP112/DJ112*10,0)</f>
        <v>8.0497186845686505E-2</v>
      </c>
      <c r="DP112" s="807">
        <f>SUM(DP9:DP109)</f>
        <v>4.8286069333333334E-2</v>
      </c>
      <c r="DQ112" s="413"/>
      <c r="DR112" s="807">
        <f>IFERROR(+DS112/DJ112*10,0)</f>
        <v>5.556280981364071</v>
      </c>
      <c r="DS112" s="807">
        <f>SUM(DS9:DS109)</f>
        <v>3.3329235370167898</v>
      </c>
      <c r="DT112" s="807">
        <f>SUM(DT9:DT109)</f>
        <v>6.6411732952093123</v>
      </c>
      <c r="DU112" s="413"/>
      <c r="DV112" s="413"/>
      <c r="DW112" s="807">
        <f>+DX112/DT112*10</f>
        <v>5.4757837945183843</v>
      </c>
      <c r="DX112" s="807">
        <f>SUM(DX9:DX109)</f>
        <v>3.6365629106495412</v>
      </c>
      <c r="DY112" s="807">
        <f>IFERROR(+DZ112/DT112*10,0)</f>
        <v>6.9876215045929987E-2</v>
      </c>
      <c r="DZ112" s="807">
        <f>SUM(DZ9:DZ109)</f>
        <v>4.640600533333334E-2</v>
      </c>
      <c r="EA112" s="413"/>
      <c r="EB112" s="807">
        <f>IFERROR(+EC112/DT112*10,0)</f>
        <v>5.5456600095643154</v>
      </c>
      <c r="EC112" s="807">
        <f>SUM(EC9:EC109)</f>
        <v>3.6829689159828747</v>
      </c>
      <c r="ED112" s="413"/>
      <c r="EE112" s="807">
        <f>SUM(EE9:EE109)</f>
        <v>63.796627188402638</v>
      </c>
      <c r="EF112" s="413"/>
      <c r="EG112" s="413"/>
      <c r="EH112" s="807">
        <f>+EI112/EE112*10</f>
        <v>5.566587451797341</v>
      </c>
      <c r="EI112" s="807">
        <f>SUM(EI9:EI109)</f>
        <v>35.512950437395524</v>
      </c>
      <c r="EJ112" s="807">
        <f>IFERROR(+EK112/EE112*10,0)</f>
        <v>-7.4516989568796169E-2</v>
      </c>
      <c r="EK112" s="807">
        <f>SUM(EK9:EK109)</f>
        <v>-0.47539326027225776</v>
      </c>
      <c r="EL112" s="413"/>
      <c r="EM112" s="807">
        <f>IFERROR(+EN112/EE112*10,0)</f>
        <v>5.4920704622285452</v>
      </c>
      <c r="EN112" s="807">
        <f>SUM(EN9:EN109)</f>
        <v>35.037557177123269</v>
      </c>
      <c r="EO112" s="810">
        <f t="shared" ref="EO112" si="50">+EN112/EE112*10</f>
        <v>5.4920704622285452</v>
      </c>
      <c r="EP112" s="807">
        <f t="shared" ref="EP112" si="51">+EN112/M112*10</f>
        <v>5.6724545158320048</v>
      </c>
      <c r="EQ112" s="434"/>
      <c r="ER112" s="434"/>
      <c r="ES112" s="434"/>
      <c r="ET112" s="434"/>
      <c r="EU112" s="434"/>
      <c r="EV112" s="434"/>
      <c r="EW112" s="434"/>
      <c r="EX112" s="434"/>
      <c r="EY112" s="434"/>
      <c r="EZ112" s="434"/>
      <c r="FA112" s="434"/>
      <c r="FB112" s="434"/>
      <c r="FC112" s="399"/>
      <c r="FD112" s="399"/>
      <c r="FE112" s="399"/>
      <c r="FF112" s="399"/>
      <c r="FG112" s="415"/>
      <c r="FH112" s="415"/>
      <c r="FI112" s="415"/>
      <c r="FJ112" s="415"/>
      <c r="FK112" s="415"/>
      <c r="FL112" s="415"/>
      <c r="FM112" s="415"/>
    </row>
    <row r="113" spans="1:169">
      <c r="A113" s="420"/>
      <c r="B113" s="421"/>
      <c r="C113" s="421"/>
      <c r="D113" s="421"/>
      <c r="E113" s="421"/>
      <c r="F113" s="421"/>
      <c r="G113" s="421"/>
      <c r="H113" s="421"/>
      <c r="I113" s="421"/>
      <c r="J113" s="421"/>
      <c r="K113" s="421"/>
      <c r="L113" s="421"/>
      <c r="M113" s="417"/>
      <c r="N113" s="417"/>
      <c r="O113" s="417"/>
      <c r="P113" s="417"/>
      <c r="Q113" s="417"/>
      <c r="R113" s="417"/>
      <c r="S113" s="417"/>
      <c r="T113" s="417"/>
      <c r="U113" s="417"/>
      <c r="V113" s="417"/>
      <c r="W113" s="417"/>
      <c r="X113" s="417"/>
      <c r="Y113" s="417"/>
      <c r="Z113" s="417"/>
      <c r="AA113" s="417"/>
      <c r="AB113" s="417"/>
      <c r="AC113" s="417"/>
      <c r="AD113" s="417"/>
      <c r="AE113" s="417"/>
      <c r="AF113" s="417"/>
      <c r="AG113" s="417"/>
      <c r="AH113" s="417"/>
      <c r="AI113" s="417"/>
      <c r="AJ113" s="417"/>
      <c r="AK113" s="417"/>
      <c r="AL113" s="417"/>
      <c r="AM113" s="417"/>
      <c r="AN113" s="417"/>
      <c r="AO113" s="422"/>
      <c r="AP113" s="417"/>
      <c r="AQ113" s="417"/>
      <c r="AR113" s="417"/>
      <c r="AS113" s="417"/>
      <c r="AT113" s="417"/>
      <c r="AU113" s="417"/>
      <c r="AV113" s="417"/>
      <c r="AW113" s="417"/>
      <c r="AX113" s="417"/>
      <c r="AY113" s="422"/>
      <c r="AZ113" s="417"/>
      <c r="BA113" s="417"/>
      <c r="BB113" s="417"/>
      <c r="BC113" s="417"/>
      <c r="BD113" s="417"/>
      <c r="BE113" s="417"/>
      <c r="BF113" s="417"/>
      <c r="BG113" s="417"/>
      <c r="BH113" s="417"/>
      <c r="BI113" s="422"/>
      <c r="BJ113" s="417"/>
      <c r="BK113" s="417"/>
      <c r="BL113" s="417"/>
      <c r="BM113" s="417"/>
      <c r="BN113" s="417"/>
      <c r="BO113" s="417"/>
      <c r="BP113" s="417"/>
      <c r="BQ113" s="417"/>
      <c r="BR113" s="417"/>
      <c r="BS113" s="417"/>
      <c r="BT113" s="417"/>
      <c r="BU113" s="417"/>
      <c r="BV113" s="417"/>
      <c r="BW113" s="417"/>
      <c r="BX113" s="417"/>
      <c r="BY113" s="417"/>
      <c r="BZ113" s="417"/>
      <c r="CA113" s="417"/>
      <c r="CB113" s="417"/>
      <c r="CC113" s="417"/>
      <c r="CD113" s="417"/>
      <c r="CE113" s="417"/>
      <c r="CF113" s="417"/>
      <c r="CG113" s="417"/>
      <c r="CH113" s="417"/>
      <c r="CI113" s="417"/>
      <c r="CJ113" s="417"/>
      <c r="CK113" s="417"/>
      <c r="CL113" s="417"/>
      <c r="CM113" s="422"/>
      <c r="CN113" s="417"/>
      <c r="CO113" s="417"/>
      <c r="CP113" s="417"/>
      <c r="CQ113" s="417"/>
      <c r="CR113" s="417"/>
      <c r="CS113" s="417"/>
      <c r="CT113" s="417"/>
      <c r="CU113" s="417"/>
      <c r="CV113" s="417"/>
      <c r="CW113" s="422"/>
      <c r="CX113" s="417"/>
      <c r="CY113" s="417"/>
      <c r="CZ113" s="417"/>
      <c r="DA113" s="417"/>
      <c r="DB113" s="417"/>
      <c r="DC113" s="417"/>
      <c r="DD113" s="417"/>
      <c r="DE113" s="417"/>
      <c r="DF113" s="417"/>
      <c r="DG113" s="422"/>
      <c r="DH113" s="417"/>
      <c r="DI113" s="417"/>
      <c r="DJ113" s="417"/>
      <c r="DK113" s="417"/>
      <c r="DL113" s="417"/>
      <c r="DM113" s="417"/>
      <c r="DN113" s="417"/>
      <c r="DO113" s="417"/>
      <c r="DP113" s="417"/>
      <c r="DQ113" s="422"/>
      <c r="DR113" s="417"/>
      <c r="DS113" s="417"/>
      <c r="DT113" s="417"/>
      <c r="DU113" s="417"/>
      <c r="DV113" s="417"/>
      <c r="DW113" s="417"/>
      <c r="DX113" s="417"/>
      <c r="DY113" s="417"/>
      <c r="DZ113" s="417"/>
      <c r="EA113" s="417"/>
      <c r="EB113" s="417"/>
      <c r="EC113" s="417"/>
      <c r="ED113" s="417"/>
      <c r="EE113" s="935">
        <f>F1_PP_Annual!J473-EE112</f>
        <v>0</v>
      </c>
      <c r="EF113" s="417"/>
      <c r="EG113" s="417"/>
      <c r="EH113" s="417"/>
      <c r="EI113" s="417"/>
      <c r="EJ113" s="417"/>
      <c r="EK113" s="417"/>
      <c r="EL113" s="417"/>
      <c r="EM113" s="417"/>
      <c r="EN113" s="454"/>
      <c r="EO113" s="455"/>
      <c r="EP113" s="413"/>
      <c r="EQ113" s="434"/>
      <c r="ER113" s="434"/>
      <c r="ES113" s="434"/>
      <c r="ET113" s="434"/>
      <c r="EU113" s="434"/>
      <c r="EV113" s="434"/>
      <c r="EW113" s="434"/>
      <c r="EX113" s="434"/>
      <c r="EY113" s="434"/>
      <c r="EZ113" s="434"/>
      <c r="FA113" s="434"/>
      <c r="FB113" s="434"/>
      <c r="FC113" s="399"/>
      <c r="FD113" s="399"/>
      <c r="FE113" s="399"/>
      <c r="FF113" s="399"/>
      <c r="FG113" s="423"/>
      <c r="FH113" s="423"/>
      <c r="FI113" s="423"/>
      <c r="FJ113" s="424"/>
      <c r="FK113" s="423"/>
      <c r="FL113" s="423"/>
      <c r="FM113" s="423"/>
    </row>
    <row r="114" spans="1:169">
      <c r="A114" s="432"/>
      <c r="B114" s="451" t="s">
        <v>1230</v>
      </c>
      <c r="C114" s="456"/>
      <c r="D114" s="456"/>
      <c r="E114" s="456"/>
      <c r="F114" s="456"/>
      <c r="G114" s="456"/>
      <c r="H114" s="456"/>
      <c r="I114" s="456"/>
      <c r="J114" s="456"/>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c r="AI114" s="456"/>
      <c r="AJ114" s="456"/>
      <c r="AK114" s="456"/>
      <c r="AL114" s="456"/>
      <c r="AM114" s="456"/>
      <c r="AN114" s="456"/>
      <c r="AO114" s="456"/>
      <c r="AP114" s="456"/>
      <c r="AQ114" s="456"/>
      <c r="AR114" s="456"/>
      <c r="AS114" s="456"/>
      <c r="AT114" s="456"/>
      <c r="AU114" s="456"/>
      <c r="AV114" s="456"/>
      <c r="AW114" s="456"/>
      <c r="AX114" s="456"/>
      <c r="AY114" s="456"/>
      <c r="AZ114" s="456"/>
      <c r="BA114" s="456"/>
      <c r="BB114" s="456"/>
      <c r="BC114" s="456"/>
      <c r="BD114" s="456"/>
      <c r="BE114" s="456"/>
      <c r="BF114" s="456"/>
      <c r="BG114" s="456"/>
      <c r="BH114" s="456"/>
      <c r="BI114" s="456"/>
      <c r="BJ114" s="456"/>
      <c r="BK114" s="456"/>
      <c r="BL114" s="456"/>
      <c r="BM114" s="456"/>
      <c r="BN114" s="456"/>
      <c r="BO114" s="456"/>
      <c r="BP114" s="456"/>
      <c r="BQ114" s="456"/>
      <c r="BR114" s="456"/>
      <c r="BS114" s="456"/>
      <c r="BT114" s="456"/>
      <c r="BU114" s="456"/>
      <c r="BV114" s="456"/>
      <c r="BW114" s="456"/>
      <c r="BX114" s="456"/>
      <c r="BY114" s="456"/>
      <c r="BZ114" s="456"/>
      <c r="CA114" s="456"/>
      <c r="CB114" s="456"/>
      <c r="CC114" s="456"/>
      <c r="CD114" s="456"/>
      <c r="CE114" s="456"/>
      <c r="CF114" s="456"/>
      <c r="CG114" s="456"/>
      <c r="CH114" s="456"/>
      <c r="CI114" s="456"/>
      <c r="CJ114" s="456"/>
      <c r="CK114" s="456"/>
      <c r="CL114" s="456"/>
      <c r="CM114" s="456"/>
      <c r="CN114" s="456"/>
      <c r="CO114" s="456"/>
      <c r="CP114" s="456"/>
      <c r="CQ114" s="456"/>
      <c r="CR114" s="456"/>
      <c r="CS114" s="456"/>
      <c r="CT114" s="456"/>
      <c r="CU114" s="456"/>
      <c r="CV114" s="456"/>
      <c r="CW114" s="456"/>
      <c r="CX114" s="456"/>
      <c r="CY114" s="456"/>
      <c r="CZ114" s="456"/>
      <c r="DA114" s="456"/>
      <c r="DB114" s="456"/>
      <c r="DC114" s="456"/>
      <c r="DD114" s="456"/>
      <c r="DE114" s="456"/>
      <c r="DF114" s="456"/>
      <c r="DG114" s="456"/>
      <c r="DH114" s="456"/>
      <c r="DI114" s="456"/>
      <c r="DJ114" s="456"/>
      <c r="DK114" s="456"/>
      <c r="DL114" s="456"/>
      <c r="DM114" s="456"/>
      <c r="DN114" s="456"/>
      <c r="DO114" s="456"/>
      <c r="DP114" s="456"/>
      <c r="DQ114" s="456"/>
      <c r="DR114" s="456"/>
      <c r="DS114" s="456"/>
      <c r="DT114" s="456"/>
      <c r="DU114" s="456"/>
      <c r="DV114" s="456"/>
      <c r="DW114" s="456"/>
      <c r="DX114" s="456"/>
      <c r="DY114" s="456"/>
      <c r="DZ114" s="456"/>
      <c r="EA114" s="456"/>
      <c r="EB114" s="456"/>
      <c r="EC114" s="456"/>
      <c r="ED114" s="456"/>
      <c r="EE114" s="456"/>
      <c r="EF114" s="456"/>
      <c r="EG114" s="456"/>
      <c r="EH114" s="456"/>
      <c r="EI114" s="456"/>
      <c r="EJ114" s="456"/>
      <c r="EK114" s="456"/>
      <c r="EL114" s="456"/>
      <c r="EM114" s="456"/>
      <c r="EN114" s="408"/>
      <c r="EO114" s="408"/>
      <c r="EP114" s="408"/>
    </row>
    <row r="115" spans="1:169">
      <c r="A115" s="432"/>
      <c r="B115" s="451" t="s">
        <v>1218</v>
      </c>
      <c r="C115" s="456"/>
      <c r="D115" s="456"/>
      <c r="E115" s="456"/>
      <c r="F115" s="456"/>
      <c r="G115" s="456"/>
      <c r="H115" s="456"/>
      <c r="I115" s="456"/>
      <c r="J115" s="456"/>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56"/>
      <c r="AY115" s="456"/>
      <c r="AZ115" s="456"/>
      <c r="BA115" s="456"/>
      <c r="BB115" s="456"/>
      <c r="BC115" s="456"/>
      <c r="BD115" s="456"/>
      <c r="BE115" s="456"/>
      <c r="BF115" s="456"/>
      <c r="BG115" s="456"/>
      <c r="BH115" s="456"/>
      <c r="BI115" s="456"/>
      <c r="BJ115" s="456"/>
      <c r="BK115" s="456"/>
      <c r="BL115" s="456"/>
      <c r="BM115" s="456"/>
      <c r="BN115" s="456"/>
      <c r="BO115" s="456"/>
      <c r="BP115" s="456"/>
      <c r="BQ115" s="456"/>
      <c r="BR115" s="456"/>
      <c r="BS115" s="456"/>
      <c r="BT115" s="456"/>
      <c r="BU115" s="456"/>
      <c r="BV115" s="456"/>
      <c r="BW115" s="456"/>
      <c r="BX115" s="456"/>
      <c r="BY115" s="456"/>
      <c r="BZ115" s="456"/>
      <c r="CA115" s="456"/>
      <c r="CB115" s="456"/>
      <c r="CC115" s="456"/>
      <c r="CD115" s="456"/>
      <c r="CE115" s="456"/>
      <c r="CF115" s="456"/>
      <c r="CG115" s="456"/>
      <c r="CH115" s="456"/>
      <c r="CI115" s="456"/>
      <c r="CJ115" s="456"/>
      <c r="CK115" s="456"/>
      <c r="CL115" s="456"/>
      <c r="CM115" s="456"/>
      <c r="CN115" s="456"/>
      <c r="CO115" s="456"/>
      <c r="CP115" s="456"/>
      <c r="CQ115" s="456"/>
      <c r="CR115" s="456"/>
      <c r="CS115" s="456"/>
      <c r="CT115" s="456"/>
      <c r="CU115" s="456"/>
      <c r="CV115" s="456"/>
      <c r="CW115" s="456"/>
      <c r="CX115" s="456"/>
      <c r="CY115" s="456"/>
      <c r="CZ115" s="456"/>
      <c r="DA115" s="456"/>
      <c r="DB115" s="456"/>
      <c r="DC115" s="456"/>
      <c r="DD115" s="456"/>
      <c r="DE115" s="456"/>
      <c r="DF115" s="456"/>
      <c r="DG115" s="456"/>
      <c r="DH115" s="456"/>
      <c r="DI115" s="456"/>
      <c r="DJ115" s="456"/>
      <c r="DK115" s="456"/>
      <c r="DL115" s="456"/>
      <c r="DM115" s="456"/>
      <c r="DN115" s="456"/>
      <c r="DO115" s="456"/>
      <c r="DP115" s="456"/>
      <c r="DQ115" s="456"/>
      <c r="DR115" s="456"/>
      <c r="DS115" s="456"/>
      <c r="DT115" s="456"/>
      <c r="DU115" s="456"/>
      <c r="DV115" s="456"/>
      <c r="DW115" s="456"/>
      <c r="DX115" s="456"/>
      <c r="DY115" s="456"/>
      <c r="DZ115" s="456"/>
      <c r="EA115" s="456"/>
      <c r="EB115" s="456"/>
      <c r="EC115" s="456"/>
      <c r="ED115" s="456"/>
      <c r="EE115" s="456"/>
      <c r="EF115" s="456"/>
      <c r="EG115" s="456"/>
      <c r="EH115" s="456"/>
      <c r="EI115" s="456"/>
      <c r="EJ115" s="456"/>
      <c r="EK115" s="456"/>
      <c r="EL115" s="456"/>
      <c r="EM115" s="456"/>
      <c r="EN115" s="408"/>
      <c r="EO115" s="408"/>
      <c r="EP115" s="408"/>
    </row>
    <row r="116" spans="1:169">
      <c r="A116" s="432"/>
      <c r="B116" s="438" t="s">
        <v>1219</v>
      </c>
      <c r="C116" s="439"/>
      <c r="D116" s="439"/>
      <c r="E116" s="439"/>
      <c r="F116" s="1764"/>
      <c r="G116" s="1764"/>
      <c r="H116" s="1764"/>
      <c r="I116" s="1764"/>
      <c r="J116" s="1764"/>
      <c r="K116" s="1764"/>
      <c r="L116" s="1764"/>
      <c r="M116" s="1764"/>
      <c r="N116" s="1764"/>
      <c r="O116" s="1764"/>
      <c r="P116" s="1764"/>
      <c r="Q116" s="1764"/>
      <c r="R116" s="1764"/>
      <c r="S116" s="1764"/>
      <c r="T116" s="1764"/>
      <c r="U116" s="1764"/>
      <c r="V116" s="1764"/>
      <c r="W116" s="1764"/>
      <c r="X116" s="1764"/>
      <c r="Y116" s="1764"/>
      <c r="Z116" s="1764"/>
      <c r="AA116" s="1764"/>
      <c r="AB116" s="1764"/>
      <c r="AC116" s="1764"/>
      <c r="AD116" s="1764"/>
      <c r="AE116" s="1764"/>
      <c r="AF116" s="1764"/>
      <c r="AG116" s="1764"/>
      <c r="AH116" s="1764"/>
      <c r="AI116" s="1764"/>
      <c r="AJ116" s="1764"/>
      <c r="AK116" s="1764"/>
      <c r="AL116" s="1764"/>
      <c r="AM116" s="1764"/>
      <c r="AN116" s="1764"/>
      <c r="AO116" s="1764"/>
      <c r="AP116" s="1764"/>
      <c r="AQ116" s="1764"/>
      <c r="AR116" s="1764"/>
      <c r="AS116" s="1764"/>
      <c r="AT116" s="1764"/>
      <c r="AU116" s="1764"/>
      <c r="AV116" s="1764"/>
      <c r="AW116" s="1764"/>
      <c r="AX116" s="1764"/>
      <c r="AY116" s="1764"/>
      <c r="AZ116" s="1764"/>
      <c r="BA116" s="1764"/>
      <c r="BB116" s="1764"/>
      <c r="BC116" s="1764"/>
      <c r="BD116" s="1764"/>
      <c r="BE116" s="1764"/>
      <c r="BF116" s="1764"/>
      <c r="BG116" s="1764"/>
      <c r="BH116" s="1764"/>
      <c r="BI116" s="1764"/>
      <c r="BJ116" s="1764"/>
      <c r="BK116" s="1764"/>
      <c r="BL116" s="1764"/>
      <c r="BM116" s="1764"/>
      <c r="BN116" s="1764"/>
      <c r="BO116" s="1764"/>
      <c r="BP116" s="1764"/>
      <c r="BQ116" s="1764"/>
      <c r="BR116" s="1764"/>
      <c r="BS116" s="1764"/>
      <c r="BT116" s="1764"/>
      <c r="BU116" s="1764"/>
      <c r="BV116" s="1764"/>
      <c r="BW116" s="1764"/>
      <c r="BX116" s="1764"/>
      <c r="BY116" s="1764"/>
      <c r="BZ116" s="1764"/>
      <c r="CA116" s="1764"/>
      <c r="CB116" s="1764"/>
      <c r="CC116" s="1764"/>
      <c r="CD116" s="1764"/>
      <c r="CE116" s="1764"/>
      <c r="CF116" s="1764"/>
      <c r="CG116" s="1764"/>
      <c r="CH116" s="1764"/>
      <c r="CI116" s="1764"/>
      <c r="CJ116" s="1764"/>
      <c r="CK116" s="1764"/>
      <c r="CL116" s="1764"/>
      <c r="CM116" s="1764"/>
      <c r="CN116" s="1764"/>
      <c r="CO116" s="1764"/>
      <c r="CP116" s="1764"/>
      <c r="CQ116" s="1764"/>
      <c r="CR116" s="1764"/>
      <c r="CS116" s="1764"/>
      <c r="CT116" s="1764"/>
      <c r="CU116" s="1764"/>
      <c r="CV116" s="1764"/>
      <c r="CW116" s="1764"/>
      <c r="CX116" s="1764"/>
      <c r="CY116" s="1764"/>
      <c r="CZ116" s="1764"/>
      <c r="DA116" s="1764"/>
      <c r="DB116" s="1764"/>
      <c r="DC116" s="1764"/>
      <c r="DD116" s="1764"/>
      <c r="DE116" s="1764"/>
      <c r="DF116" s="1764"/>
      <c r="DG116" s="1764"/>
      <c r="DH116" s="1764"/>
      <c r="DI116" s="1764"/>
      <c r="DJ116" s="1764"/>
      <c r="DK116" s="1764"/>
      <c r="DL116" s="1764"/>
      <c r="DM116" s="1764"/>
      <c r="DN116" s="1764"/>
      <c r="DO116" s="1764"/>
      <c r="DP116" s="1764"/>
      <c r="DQ116" s="1764"/>
      <c r="DR116" s="1764"/>
      <c r="DS116" s="1764"/>
      <c r="DT116" s="1764"/>
      <c r="DU116" s="1764"/>
      <c r="DV116" s="1764"/>
      <c r="DW116" s="1764"/>
      <c r="DX116" s="1764"/>
      <c r="DY116" s="1764"/>
      <c r="DZ116" s="1764"/>
      <c r="EA116" s="1764"/>
      <c r="EB116" s="1764"/>
      <c r="EC116" s="1764"/>
      <c r="ED116" s="1764"/>
      <c r="EE116" s="1764"/>
      <c r="EF116" s="1764"/>
      <c r="EG116" s="1764"/>
      <c r="EH116" s="1764"/>
      <c r="EI116" s="1764"/>
      <c r="EJ116" s="1764"/>
      <c r="EK116" s="1764"/>
      <c r="EL116" s="1764"/>
      <c r="EM116" s="1764"/>
      <c r="EN116" s="1764"/>
      <c r="EO116" s="1764"/>
      <c r="EP116" s="1765"/>
    </row>
    <row r="117" spans="1:169">
      <c r="A117" s="432"/>
      <c r="B117" s="451" t="s">
        <v>1231</v>
      </c>
      <c r="C117" s="456"/>
      <c r="D117" s="456"/>
      <c r="E117" s="456"/>
      <c r="F117" s="456"/>
      <c r="G117" s="456"/>
      <c r="H117" s="456"/>
      <c r="I117" s="456"/>
      <c r="J117" s="456"/>
      <c r="K117" s="456"/>
      <c r="L117" s="456"/>
      <c r="M117" s="456"/>
      <c r="N117" s="456"/>
      <c r="O117" s="456"/>
      <c r="P117" s="456"/>
      <c r="Q117" s="456"/>
      <c r="R117" s="456"/>
      <c r="S117" s="456"/>
      <c r="T117" s="456"/>
      <c r="U117" s="456"/>
      <c r="V117" s="456"/>
      <c r="W117" s="456"/>
      <c r="X117" s="456"/>
      <c r="Y117" s="456"/>
      <c r="Z117" s="456"/>
      <c r="AA117" s="456"/>
      <c r="AB117" s="456"/>
      <c r="AC117" s="456"/>
      <c r="AD117" s="456"/>
      <c r="AE117" s="456"/>
      <c r="AF117" s="456"/>
      <c r="AG117" s="456"/>
      <c r="AH117" s="456"/>
      <c r="AI117" s="456"/>
      <c r="AJ117" s="456"/>
      <c r="AK117" s="456"/>
      <c r="AL117" s="456"/>
      <c r="AM117" s="456"/>
      <c r="AN117" s="456"/>
      <c r="AO117" s="456"/>
      <c r="AP117" s="456"/>
      <c r="AQ117" s="456"/>
      <c r="AR117" s="456"/>
      <c r="AS117" s="456"/>
      <c r="AT117" s="456"/>
      <c r="AU117" s="456"/>
      <c r="AV117" s="456"/>
      <c r="AW117" s="456"/>
      <c r="AX117" s="456"/>
      <c r="AY117" s="456"/>
      <c r="AZ117" s="456"/>
      <c r="BA117" s="456"/>
      <c r="BB117" s="456"/>
      <c r="BC117" s="456"/>
      <c r="BD117" s="456"/>
      <c r="BE117" s="456"/>
      <c r="BF117" s="456"/>
      <c r="BG117" s="456"/>
      <c r="BH117" s="456"/>
      <c r="BI117" s="456"/>
      <c r="BJ117" s="456"/>
      <c r="BK117" s="456"/>
      <c r="BL117" s="456"/>
      <c r="BM117" s="456"/>
      <c r="BN117" s="456"/>
      <c r="BO117" s="456"/>
      <c r="BP117" s="456"/>
      <c r="BQ117" s="456"/>
      <c r="BR117" s="456"/>
      <c r="BS117" s="456"/>
      <c r="BT117" s="456"/>
      <c r="BU117" s="456"/>
      <c r="BV117" s="456"/>
      <c r="BW117" s="456"/>
      <c r="BX117" s="456"/>
      <c r="BY117" s="456"/>
      <c r="BZ117" s="456"/>
      <c r="CA117" s="456"/>
      <c r="CB117" s="456"/>
      <c r="CC117" s="456"/>
      <c r="CD117" s="456"/>
      <c r="CE117" s="456"/>
      <c r="CF117" s="456"/>
      <c r="CG117" s="456"/>
      <c r="CH117" s="456"/>
      <c r="CI117" s="456"/>
      <c r="CJ117" s="456"/>
      <c r="CK117" s="456"/>
      <c r="CL117" s="456"/>
      <c r="CM117" s="456"/>
      <c r="CN117" s="456"/>
      <c r="CO117" s="456"/>
      <c r="CP117" s="456"/>
      <c r="CQ117" s="456"/>
      <c r="CR117" s="456"/>
      <c r="CS117" s="456"/>
      <c r="CT117" s="456"/>
      <c r="CU117" s="456"/>
      <c r="CV117" s="456"/>
      <c r="CW117" s="456"/>
      <c r="CX117" s="456"/>
      <c r="CY117" s="456"/>
      <c r="CZ117" s="456"/>
      <c r="DA117" s="456"/>
      <c r="DB117" s="456"/>
      <c r="DC117" s="456"/>
      <c r="DD117" s="456"/>
      <c r="DE117" s="456"/>
      <c r="DF117" s="456"/>
      <c r="DG117" s="456"/>
      <c r="DH117" s="456"/>
      <c r="DI117" s="456"/>
      <c r="DJ117" s="456"/>
      <c r="DK117" s="456"/>
      <c r="DL117" s="456"/>
      <c r="DM117" s="456"/>
      <c r="DN117" s="456"/>
      <c r="DO117" s="456"/>
      <c r="DP117" s="456"/>
      <c r="DQ117" s="456"/>
      <c r="DR117" s="456"/>
      <c r="DS117" s="456"/>
      <c r="DT117" s="456"/>
      <c r="DU117" s="456"/>
      <c r="DV117" s="456"/>
      <c r="DW117" s="456"/>
      <c r="DX117" s="456"/>
      <c r="DY117" s="456"/>
      <c r="DZ117" s="456"/>
      <c r="EA117" s="456"/>
      <c r="EB117" s="456"/>
      <c r="EC117" s="456"/>
      <c r="ED117" s="456"/>
      <c r="EE117" s="456"/>
      <c r="EF117" s="456"/>
      <c r="EG117" s="456"/>
      <c r="EH117" s="456"/>
      <c r="EI117" s="456"/>
      <c r="EJ117" s="456"/>
      <c r="EK117" s="456"/>
      <c r="EL117" s="456"/>
      <c r="EM117" s="456"/>
      <c r="EN117" s="408"/>
      <c r="EO117" s="408"/>
      <c r="EP117" s="408"/>
    </row>
    <row r="118" spans="1:169">
      <c r="A118" s="432"/>
      <c r="B118" s="451" t="s">
        <v>1243</v>
      </c>
      <c r="C118" s="456"/>
      <c r="D118" s="456"/>
      <c r="E118" s="456"/>
      <c r="F118" s="456"/>
      <c r="G118" s="456"/>
      <c r="H118" s="456"/>
      <c r="I118" s="456"/>
      <c r="J118" s="456"/>
      <c r="K118" s="456"/>
      <c r="L118" s="456"/>
      <c r="M118" s="456"/>
      <c r="N118" s="456"/>
      <c r="O118" s="456"/>
      <c r="P118" s="456"/>
      <c r="Q118" s="456"/>
      <c r="R118" s="456"/>
      <c r="S118" s="456"/>
      <c r="T118" s="456"/>
      <c r="U118" s="456"/>
      <c r="V118" s="456"/>
      <c r="W118" s="456"/>
      <c r="X118" s="456"/>
      <c r="Y118" s="456"/>
      <c r="Z118" s="456"/>
      <c r="AA118" s="456"/>
      <c r="AB118" s="456"/>
      <c r="AC118" s="456"/>
      <c r="AD118" s="456"/>
      <c r="AE118" s="456"/>
      <c r="AF118" s="456"/>
      <c r="AG118" s="456"/>
      <c r="AH118" s="456"/>
      <c r="AI118" s="456"/>
      <c r="AJ118" s="456"/>
      <c r="AK118" s="456"/>
      <c r="AL118" s="456"/>
      <c r="AM118" s="456"/>
      <c r="AN118" s="456"/>
      <c r="AO118" s="456"/>
      <c r="AP118" s="456"/>
      <c r="AQ118" s="456"/>
      <c r="AR118" s="456"/>
      <c r="AS118" s="456"/>
      <c r="AT118" s="456"/>
      <c r="AU118" s="456"/>
      <c r="AV118" s="456"/>
      <c r="AW118" s="456"/>
      <c r="AX118" s="456"/>
      <c r="AY118" s="456"/>
      <c r="AZ118" s="456"/>
      <c r="BA118" s="456"/>
      <c r="BB118" s="456"/>
      <c r="BC118" s="456"/>
      <c r="BD118" s="456"/>
      <c r="BE118" s="456"/>
      <c r="BF118" s="456"/>
      <c r="BG118" s="456"/>
      <c r="BH118" s="456"/>
      <c r="BI118" s="456"/>
      <c r="BJ118" s="456"/>
      <c r="BK118" s="456"/>
      <c r="BL118" s="456"/>
      <c r="BM118" s="456"/>
      <c r="BN118" s="456"/>
      <c r="BO118" s="456"/>
      <c r="BP118" s="456"/>
      <c r="BQ118" s="456"/>
      <c r="BR118" s="456"/>
      <c r="BS118" s="456"/>
      <c r="BT118" s="456"/>
      <c r="BU118" s="456"/>
      <c r="BV118" s="456"/>
      <c r="BW118" s="456"/>
      <c r="BX118" s="456"/>
      <c r="BY118" s="456"/>
      <c r="BZ118" s="456"/>
      <c r="CA118" s="456"/>
      <c r="CB118" s="456"/>
      <c r="CC118" s="456"/>
      <c r="CD118" s="456"/>
      <c r="CE118" s="456"/>
      <c r="CF118" s="456"/>
      <c r="CG118" s="456"/>
      <c r="CH118" s="456"/>
      <c r="CI118" s="456"/>
      <c r="CJ118" s="456"/>
      <c r="CK118" s="456"/>
      <c r="CL118" s="456"/>
      <c r="CM118" s="456"/>
      <c r="CN118" s="456"/>
      <c r="CO118" s="456"/>
      <c r="CP118" s="456"/>
      <c r="CQ118" s="456"/>
      <c r="CR118" s="456"/>
      <c r="CS118" s="456"/>
      <c r="CT118" s="456"/>
      <c r="CU118" s="456"/>
      <c r="CV118" s="456"/>
      <c r="CW118" s="456"/>
      <c r="CX118" s="456"/>
      <c r="CY118" s="456"/>
      <c r="CZ118" s="456"/>
      <c r="DA118" s="456"/>
      <c r="DB118" s="456"/>
      <c r="DC118" s="456"/>
      <c r="DD118" s="456"/>
      <c r="DE118" s="456"/>
      <c r="DF118" s="456"/>
      <c r="DG118" s="456"/>
      <c r="DH118" s="456"/>
      <c r="DI118" s="456"/>
      <c r="DJ118" s="456"/>
      <c r="DK118" s="456"/>
      <c r="DL118" s="456"/>
      <c r="DM118" s="456"/>
      <c r="DN118" s="456"/>
      <c r="DO118" s="456"/>
      <c r="DP118" s="456"/>
      <c r="DQ118" s="456"/>
      <c r="DR118" s="456"/>
      <c r="DS118" s="456"/>
      <c r="DT118" s="456"/>
      <c r="DU118" s="456"/>
      <c r="DV118" s="456"/>
      <c r="DW118" s="456"/>
      <c r="DX118" s="456"/>
      <c r="DY118" s="456"/>
      <c r="DZ118" s="456"/>
      <c r="EA118" s="456"/>
      <c r="EB118" s="456"/>
      <c r="EC118" s="456"/>
      <c r="ED118" s="456"/>
      <c r="EE118" s="456"/>
      <c r="EF118" s="456"/>
      <c r="EG118" s="456"/>
      <c r="EH118" s="456"/>
      <c r="EI118" s="456"/>
      <c r="EJ118" s="456"/>
      <c r="EK118" s="456"/>
      <c r="EL118" s="456"/>
      <c r="EM118" s="456"/>
      <c r="EN118" s="408"/>
      <c r="EO118" s="408"/>
      <c r="EP118" s="408"/>
    </row>
    <row r="119" spans="1:169">
      <c r="B119" s="430"/>
      <c r="C119" s="430"/>
      <c r="D119" s="430"/>
      <c r="E119" s="430"/>
      <c r="F119" s="430"/>
      <c r="G119" s="430"/>
      <c r="H119" s="430"/>
      <c r="I119" s="430"/>
      <c r="J119" s="430"/>
      <c r="K119" s="430"/>
      <c r="L119" s="430"/>
      <c r="M119" s="430"/>
      <c r="N119" s="430"/>
      <c r="O119" s="430"/>
      <c r="P119" s="430"/>
      <c r="Q119" s="430"/>
      <c r="R119" s="430"/>
      <c r="S119" s="430"/>
      <c r="T119" s="430"/>
      <c r="U119" s="430"/>
      <c r="V119" s="430"/>
      <c r="W119" s="430"/>
      <c r="X119" s="430"/>
      <c r="Y119" s="430"/>
      <c r="Z119" s="430"/>
      <c r="AA119" s="430"/>
      <c r="AB119" s="430"/>
      <c r="AC119" s="430"/>
      <c r="AD119" s="430"/>
      <c r="AE119" s="430"/>
      <c r="AF119" s="430"/>
      <c r="AG119" s="430"/>
      <c r="AH119" s="430"/>
      <c r="AI119" s="430"/>
      <c r="AJ119" s="430"/>
      <c r="AK119" s="430"/>
      <c r="AL119" s="430"/>
      <c r="AM119" s="430"/>
      <c r="AN119" s="430"/>
      <c r="AO119" s="431"/>
      <c r="AP119" s="430"/>
      <c r="AQ119" s="430"/>
      <c r="AR119" s="430"/>
      <c r="AS119" s="430"/>
      <c r="AT119" s="430"/>
      <c r="AU119" s="430"/>
      <c r="AV119" s="430"/>
      <c r="AW119" s="430"/>
      <c r="AX119" s="430"/>
      <c r="AY119" s="431"/>
      <c r="AZ119" s="430"/>
      <c r="BA119" s="430"/>
      <c r="BB119" s="430"/>
      <c r="BC119" s="430"/>
      <c r="BD119" s="430"/>
      <c r="BE119" s="430"/>
      <c r="BF119" s="430"/>
      <c r="BG119" s="430"/>
      <c r="BH119" s="430"/>
      <c r="BI119" s="431"/>
      <c r="BJ119" s="430"/>
      <c r="BK119" s="430"/>
      <c r="BL119" s="430"/>
      <c r="BM119" s="430"/>
      <c r="BN119" s="430"/>
      <c r="BO119" s="430"/>
      <c r="BP119" s="430"/>
      <c r="BQ119" s="430"/>
      <c r="BR119" s="430"/>
      <c r="BS119" s="430"/>
      <c r="BT119" s="430"/>
      <c r="BU119" s="430"/>
      <c r="BV119" s="430"/>
      <c r="BW119" s="430"/>
      <c r="BX119" s="430"/>
      <c r="BY119" s="430"/>
      <c r="BZ119" s="430"/>
      <c r="CA119" s="430"/>
      <c r="CB119" s="430"/>
      <c r="CC119" s="430"/>
      <c r="CD119" s="430"/>
      <c r="CE119" s="430"/>
      <c r="CF119" s="430"/>
      <c r="CG119" s="430"/>
      <c r="CH119" s="430"/>
      <c r="CI119" s="430"/>
      <c r="CJ119" s="430"/>
      <c r="CK119" s="430"/>
      <c r="CL119" s="430"/>
      <c r="CM119" s="431"/>
      <c r="CN119" s="430"/>
      <c r="CO119" s="430"/>
      <c r="CP119" s="430"/>
      <c r="CQ119" s="430"/>
      <c r="CR119" s="430"/>
      <c r="CS119" s="430"/>
      <c r="CT119" s="430"/>
      <c r="CU119" s="430"/>
      <c r="CV119" s="430"/>
      <c r="CW119" s="431"/>
      <c r="CX119" s="430"/>
      <c r="CY119" s="430"/>
      <c r="CZ119" s="430"/>
      <c r="DA119" s="430"/>
      <c r="DB119" s="430"/>
      <c r="DC119" s="430"/>
      <c r="DD119" s="430"/>
      <c r="DE119" s="430"/>
      <c r="DF119" s="430"/>
      <c r="DG119" s="431"/>
      <c r="DH119" s="430"/>
      <c r="DI119" s="430"/>
      <c r="DJ119" s="430"/>
      <c r="DK119" s="430"/>
      <c r="DL119" s="430"/>
      <c r="DM119" s="430"/>
      <c r="DN119" s="430"/>
      <c r="DO119" s="430"/>
      <c r="DP119" s="430"/>
      <c r="DQ119" s="431"/>
      <c r="DR119" s="430"/>
      <c r="DS119" s="430"/>
      <c r="DT119" s="430"/>
      <c r="DU119" s="430"/>
      <c r="DV119" s="430"/>
      <c r="DW119" s="430"/>
      <c r="DX119" s="430"/>
      <c r="DY119" s="430"/>
      <c r="DZ119" s="430"/>
      <c r="EA119" s="430"/>
      <c r="EB119" s="430"/>
      <c r="EC119" s="430"/>
      <c r="ED119" s="430"/>
      <c r="EE119" s="430"/>
      <c r="EF119" s="430"/>
      <c r="EG119" s="430"/>
      <c r="EH119" s="430"/>
      <c r="EI119" s="430"/>
      <c r="EJ119" s="430"/>
      <c r="EK119" s="430"/>
      <c r="EL119" s="430"/>
      <c r="EM119" s="430"/>
    </row>
    <row r="120" spans="1:169">
      <c r="B120" s="403" t="s">
        <v>1204</v>
      </c>
    </row>
    <row r="121" spans="1:169">
      <c r="B121" s="1774" t="s">
        <v>1232</v>
      </c>
      <c r="C121" s="1775"/>
      <c r="D121" s="1776"/>
      <c r="E121" s="435"/>
      <c r="F121" s="435"/>
    </row>
    <row r="122" spans="1:169" ht="57">
      <c r="B122" s="426" t="s">
        <v>1205</v>
      </c>
      <c r="C122" s="427" t="s">
        <v>1206</v>
      </c>
      <c r="D122" s="427" t="s">
        <v>1220</v>
      </c>
      <c r="E122" s="435"/>
      <c r="F122" s="435"/>
    </row>
    <row r="123" spans="1:169">
      <c r="B123" s="426" t="s">
        <v>1207</v>
      </c>
      <c r="C123" s="428">
        <f>+N112</f>
        <v>4.2748961371617433</v>
      </c>
      <c r="D123" s="428">
        <f>+W112</f>
        <v>2.7293751020751911</v>
      </c>
      <c r="E123" s="436"/>
      <c r="F123" s="436"/>
    </row>
    <row r="124" spans="1:169">
      <c r="B124" s="426" t="s">
        <v>167</v>
      </c>
      <c r="C124" s="428">
        <f>+X112</f>
        <v>4.516796364387524</v>
      </c>
      <c r="D124" s="428">
        <f>+AG112</f>
        <v>2.163494647717827</v>
      </c>
      <c r="F124" s="436"/>
    </row>
    <row r="125" spans="1:169">
      <c r="B125" s="426" t="s">
        <v>168</v>
      </c>
      <c r="C125" s="428">
        <f>+AH112</f>
        <v>4.5145111340632109</v>
      </c>
      <c r="D125" s="428">
        <f>+AQ112</f>
        <v>2.6580061144891558</v>
      </c>
      <c r="F125" s="436"/>
    </row>
    <row r="126" spans="1:169">
      <c r="B126" s="426" t="s">
        <v>169</v>
      </c>
      <c r="C126" s="428">
        <f>+AR112</f>
        <v>4.7785290642429246</v>
      </c>
      <c r="D126" s="428">
        <f>+BA112</f>
        <v>2.818367164017145</v>
      </c>
      <c r="F126" s="436"/>
    </row>
    <row r="127" spans="1:169">
      <c r="B127" s="426" t="s">
        <v>1208</v>
      </c>
      <c r="C127" s="428">
        <f>+BB112</f>
        <v>4.993301384011569</v>
      </c>
      <c r="D127" s="428">
        <f>+BK112</f>
        <v>2.6296441740960548</v>
      </c>
      <c r="F127" s="436"/>
    </row>
    <row r="128" spans="1:169">
      <c r="B128" s="426" t="s">
        <v>1209</v>
      </c>
      <c r="C128" s="428">
        <f>+BL112</f>
        <v>4.9986321008056098</v>
      </c>
      <c r="D128" s="428">
        <f>+BU112</f>
        <v>2.5909389913323695</v>
      </c>
      <c r="F128" s="436"/>
    </row>
    <row r="129" spans="2:6">
      <c r="B129" s="426" t="s">
        <v>1210</v>
      </c>
      <c r="C129" s="428">
        <f>+BV112</f>
        <v>5.0692588669308503</v>
      </c>
      <c r="D129" s="428">
        <f>+CE112</f>
        <v>2.5100656333333333</v>
      </c>
      <c r="F129" s="436"/>
    </row>
    <row r="130" spans="2:6">
      <c r="B130" s="426" t="s">
        <v>1211</v>
      </c>
      <c r="C130" s="428">
        <f>+CF112</f>
        <v>5.5917425119820816</v>
      </c>
      <c r="D130" s="428">
        <f>+CO112</f>
        <v>3.069343487962672</v>
      </c>
      <c r="F130" s="436"/>
    </row>
    <row r="131" spans="2:6">
      <c r="B131" s="426" t="s">
        <v>1212</v>
      </c>
      <c r="C131" s="428">
        <f>+CP112</f>
        <v>5.7781339290481508</v>
      </c>
      <c r="D131" s="428">
        <f>+CY112</f>
        <v>3.1694604931169836</v>
      </c>
      <c r="F131" s="436"/>
    </row>
    <row r="132" spans="2:6">
      <c r="B132" s="426" t="s">
        <v>1213</v>
      </c>
      <c r="C132" s="428">
        <f>+CZ112</f>
        <v>6.6411732952093123</v>
      </c>
      <c r="D132" s="428">
        <f>+DI112</f>
        <v>3.6829689159828747</v>
      </c>
      <c r="F132" s="436"/>
    </row>
    <row r="133" spans="2:6">
      <c r="B133" s="426" t="s">
        <v>1214</v>
      </c>
      <c r="C133" s="428">
        <f>+DJ112</f>
        <v>5.9984791053503468</v>
      </c>
      <c r="D133" s="428">
        <f>+DS112</f>
        <v>3.3329235370167898</v>
      </c>
      <c r="F133" s="436"/>
    </row>
    <row r="134" spans="2:6">
      <c r="B134" s="426" t="s">
        <v>1215</v>
      </c>
      <c r="C134" s="428">
        <f>+DT112</f>
        <v>6.6411732952093123</v>
      </c>
      <c r="D134" s="428">
        <f>+EC112</f>
        <v>3.6829689159828747</v>
      </c>
      <c r="E134" s="436"/>
      <c r="F134" s="436"/>
    </row>
    <row r="135" spans="2:6">
      <c r="B135" s="426" t="s">
        <v>18</v>
      </c>
      <c r="C135" s="811">
        <f>SUM(C123:C134)</f>
        <v>63.796627188402645</v>
      </c>
      <c r="D135" s="811">
        <f>SUM(D123:D134)</f>
        <v>35.037557177123269</v>
      </c>
      <c r="E135" s="436"/>
      <c r="F135" s="436"/>
    </row>
    <row r="136" spans="2:6">
      <c r="B136" s="429" t="s">
        <v>1216</v>
      </c>
      <c r="C136" s="408"/>
      <c r="D136" s="810">
        <f>+D135/C135*10</f>
        <v>5.4920704622285452</v>
      </c>
    </row>
    <row r="137" spans="2:6" ht="28.5" customHeight="1">
      <c r="B137" s="1773" t="s">
        <v>1247</v>
      </c>
      <c r="C137" s="1773"/>
      <c r="D137" s="1773"/>
      <c r="E137" s="450"/>
      <c r="F137" s="437"/>
    </row>
  </sheetData>
  <mergeCells count="105">
    <mergeCell ref="B137:D137"/>
    <mergeCell ref="EF6:EG6"/>
    <mergeCell ref="EH6:EI6"/>
    <mergeCell ref="EJ6:EK6"/>
    <mergeCell ref="EM6:EN6"/>
    <mergeCell ref="F116:EP116"/>
    <mergeCell ref="B121:D121"/>
    <mergeCell ref="DU6:DV6"/>
    <mergeCell ref="DW6:DX6"/>
    <mergeCell ref="DY6:DZ6"/>
    <mergeCell ref="EB6:EC6"/>
    <mergeCell ref="ED6:ED7"/>
    <mergeCell ref="EE6:EE7"/>
    <mergeCell ref="DJ6:DJ7"/>
    <mergeCell ref="DK6:DL6"/>
    <mergeCell ref="DM6:DN6"/>
    <mergeCell ref="DO6:DP6"/>
    <mergeCell ref="DR6:DS6"/>
    <mergeCell ref="DT6:DT7"/>
    <mergeCell ref="CX6:CY6"/>
    <mergeCell ref="CZ6:CZ7"/>
    <mergeCell ref="DA6:DB6"/>
    <mergeCell ref="DC6:DD6"/>
    <mergeCell ref="DE6:DF6"/>
    <mergeCell ref="DH6:DI6"/>
    <mergeCell ref="CK6:CL6"/>
    <mergeCell ref="CN6:CO6"/>
    <mergeCell ref="CP6:CP7"/>
    <mergeCell ref="CQ6:CR6"/>
    <mergeCell ref="CS6:CT6"/>
    <mergeCell ref="CU6:CV6"/>
    <mergeCell ref="BY6:BZ6"/>
    <mergeCell ref="CA6:CB6"/>
    <mergeCell ref="CD6:CE6"/>
    <mergeCell ref="CF6:CF7"/>
    <mergeCell ref="CG6:CH6"/>
    <mergeCell ref="CI6:CJ6"/>
    <mergeCell ref="BQ6:BR6"/>
    <mergeCell ref="BT6:BU6"/>
    <mergeCell ref="BV6:BV7"/>
    <mergeCell ref="BW6:BX6"/>
    <mergeCell ref="BB6:BB7"/>
    <mergeCell ref="BC6:BD6"/>
    <mergeCell ref="BE6:BF6"/>
    <mergeCell ref="BG6:BH6"/>
    <mergeCell ref="BJ6:BK6"/>
    <mergeCell ref="BL6:BL7"/>
    <mergeCell ref="FM5:FM7"/>
    <mergeCell ref="FN5:FN7"/>
    <mergeCell ref="N6:N7"/>
    <mergeCell ref="O6:P6"/>
    <mergeCell ref="Q6:R6"/>
    <mergeCell ref="S6:T6"/>
    <mergeCell ref="V6:W6"/>
    <mergeCell ref="X6:X7"/>
    <mergeCell ref="Y6:Z6"/>
    <mergeCell ref="AA6:AB6"/>
    <mergeCell ref="ES5:FC5"/>
    <mergeCell ref="FH5:FH7"/>
    <mergeCell ref="FI5:FI7"/>
    <mergeCell ref="FJ5:FJ7"/>
    <mergeCell ref="FK5:FK7"/>
    <mergeCell ref="FL5:FL7"/>
    <mergeCell ref="CF5:CO5"/>
    <mergeCell ref="CP5:CY5"/>
    <mergeCell ref="CZ5:DI5"/>
    <mergeCell ref="DJ5:DS5"/>
    <mergeCell ref="DT5:EC5"/>
    <mergeCell ref="ED5:EP5"/>
    <mergeCell ref="X5:AG5"/>
    <mergeCell ref="AH5:AQ5"/>
    <mergeCell ref="AR5:BA5"/>
    <mergeCell ref="BB5:BK5"/>
    <mergeCell ref="BL5:BU5"/>
    <mergeCell ref="BV5:CE5"/>
    <mergeCell ref="I5:I7"/>
    <mergeCell ref="J5:J7"/>
    <mergeCell ref="K5:K7"/>
    <mergeCell ref="L5:L7"/>
    <mergeCell ref="M5:M7"/>
    <mergeCell ref="N5:W5"/>
    <mergeCell ref="AP6:AQ6"/>
    <mergeCell ref="AR6:AR7"/>
    <mergeCell ref="AS6:AT6"/>
    <mergeCell ref="AU6:AV6"/>
    <mergeCell ref="AW6:AX6"/>
    <mergeCell ref="AZ6:BA6"/>
    <mergeCell ref="AC6:AD6"/>
    <mergeCell ref="AF6:AG6"/>
    <mergeCell ref="AH6:AH7"/>
    <mergeCell ref="AI6:AJ6"/>
    <mergeCell ref="AK6:AL6"/>
    <mergeCell ref="AM6:AN6"/>
    <mergeCell ref="BM6:BN6"/>
    <mergeCell ref="BO6:BP6"/>
    <mergeCell ref="A4:R4"/>
    <mergeCell ref="S4:T4"/>
    <mergeCell ref="A5:A7"/>
    <mergeCell ref="B5:B7"/>
    <mergeCell ref="C5:C7"/>
    <mergeCell ref="D5:D7"/>
    <mergeCell ref="E5:E7"/>
    <mergeCell ref="F5:F7"/>
    <mergeCell ref="G5:G7"/>
    <mergeCell ref="H5:H7"/>
  </mergeCells>
  <pageMargins left="0.70866141732283472" right="0.70866141732283472" top="0.74803149606299213" bottom="0.74803149606299213" header="0.31496062992125984" footer="0.31496062992125984"/>
  <pageSetup scale="37" orientation="landscape" horizontalDpi="300" verticalDpi="300" r:id="rId1"/>
  <colBreaks count="4" manualBreakCount="4">
    <brk id="23" max="135" man="1"/>
    <brk id="53" max="136" man="1"/>
    <brk id="83" max="136" man="1"/>
    <brk id="113" max="136"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E016-7127-431F-BFDF-EB9DAB7AFC7B}">
  <sheetPr>
    <tabColor rgb="FF00FFFF"/>
  </sheetPr>
  <dimension ref="A1:FN137"/>
  <sheetViews>
    <sheetView showGridLines="0" view="pageBreakPreview" zoomScale="80" zoomScaleNormal="100" zoomScaleSheetLayoutView="80" workbookViewId="0">
      <pane xSplit="2" ySplit="7" topLeftCell="M101" activePane="bottomRight" state="frozen"/>
      <selection pane="topRight" activeCell="C1" sqref="C1"/>
      <selection pane="bottomLeft" activeCell="A8" sqref="A8"/>
      <selection pane="bottomRight" activeCell="T106" sqref="T106"/>
    </sheetView>
  </sheetViews>
  <sheetFormatPr defaultColWidth="9.19921875" defaultRowHeight="14.25"/>
  <cols>
    <col min="1" max="1" width="4.53125" style="425" customWidth="1"/>
    <col min="2" max="2" width="32.53125" style="398" customWidth="1"/>
    <col min="3" max="3" width="16.19921875" style="398" customWidth="1"/>
    <col min="4" max="6" width="14.19921875" style="398" customWidth="1"/>
    <col min="7" max="7" width="12.19921875" style="398" bestFit="1" customWidth="1"/>
    <col min="8" max="8" width="12.19921875" style="398" customWidth="1"/>
    <col min="9" max="9" width="13.46484375" style="398" customWidth="1"/>
    <col min="10" max="10" width="22.19921875" style="398" customWidth="1"/>
    <col min="11" max="11" width="17.796875" style="398" customWidth="1"/>
    <col min="12" max="12" width="15.796875" style="398" customWidth="1"/>
    <col min="13" max="13" width="17" style="398" customWidth="1"/>
    <col min="14" max="14" width="10.53125" style="398" customWidth="1"/>
    <col min="15" max="15" width="9.19921875" style="398" customWidth="1"/>
    <col min="16" max="16" width="9.796875" style="398" customWidth="1"/>
    <col min="17" max="18" width="9.19921875" style="398" customWidth="1"/>
    <col min="19" max="19" width="7.19921875" style="398" bestFit="1" customWidth="1"/>
    <col min="20" max="20" width="11.46484375" style="398" customWidth="1"/>
    <col min="21" max="21" width="10" style="398" bestFit="1" customWidth="1"/>
    <col min="22" max="22" width="7.19921875" style="398" bestFit="1" customWidth="1"/>
    <col min="23" max="23" width="9.19921875" style="398" customWidth="1"/>
    <col min="24" max="24" width="10" style="398" bestFit="1" customWidth="1"/>
    <col min="25" max="25" width="7.19921875" style="398" bestFit="1" customWidth="1"/>
    <col min="26" max="26" width="10" style="398" bestFit="1" customWidth="1"/>
    <col min="27" max="27" width="7.19921875" style="398" bestFit="1" customWidth="1"/>
    <col min="28" max="28" width="10" style="398" bestFit="1" customWidth="1"/>
    <col min="29" max="29" width="9.19921875" style="398" customWidth="1"/>
    <col min="30" max="30" width="10.53125" style="398" customWidth="1"/>
    <col min="31" max="31" width="9.19921875" style="398" customWidth="1"/>
    <col min="32" max="32" width="7.19921875" style="398" bestFit="1" customWidth="1"/>
    <col min="33" max="33" width="9.19921875" style="398" customWidth="1"/>
    <col min="34" max="34" width="10" style="398" bestFit="1" customWidth="1"/>
    <col min="35" max="35" width="7.19921875" style="398" bestFit="1" customWidth="1"/>
    <col min="36" max="36" width="10" style="398" bestFit="1" customWidth="1"/>
    <col min="37" max="37" width="7.19921875" style="398" bestFit="1" customWidth="1"/>
    <col min="38" max="38" width="10" style="398" bestFit="1" customWidth="1"/>
    <col min="39" max="39" width="7.19921875" style="398" bestFit="1" customWidth="1"/>
    <col min="40" max="40" width="9.19921875" style="398" customWidth="1"/>
    <col min="41" max="41" width="10" style="400" bestFit="1" customWidth="1"/>
    <col min="42" max="43" width="9.19921875" style="398" customWidth="1"/>
    <col min="44" max="44" width="10" style="398" bestFit="1" customWidth="1"/>
    <col min="45" max="45" width="9.19921875" style="398" customWidth="1"/>
    <col min="46" max="46" width="10" style="398" bestFit="1" customWidth="1"/>
    <col min="47" max="47" width="9.19921875" style="398" customWidth="1"/>
    <col min="48" max="48" width="11.46484375" style="398" customWidth="1"/>
    <col min="49" max="50" width="9.19921875" style="398" customWidth="1"/>
    <col min="51" max="51" width="10" style="400" bestFit="1" customWidth="1"/>
    <col min="52" max="53" width="9.19921875" style="398" customWidth="1"/>
    <col min="54" max="54" width="10" style="398" bestFit="1" customWidth="1"/>
    <col min="55" max="55" width="9.19921875" style="398" customWidth="1"/>
    <col min="56" max="56" width="10" style="398" bestFit="1" customWidth="1"/>
    <col min="57" max="57" width="9.19921875" style="398" customWidth="1"/>
    <col min="58" max="58" width="10" style="398" bestFit="1" customWidth="1"/>
    <col min="59" max="60" width="9.19921875" style="398" customWidth="1"/>
    <col min="61" max="61" width="12" style="400" customWidth="1"/>
    <col min="62" max="63" width="9.19921875" style="398" customWidth="1"/>
    <col min="64" max="64" width="10" style="398" bestFit="1" customWidth="1"/>
    <col min="65" max="67" width="9.19921875" style="398" customWidth="1"/>
    <col min="68" max="68" width="10" style="398" bestFit="1" customWidth="1"/>
    <col min="69" max="69" width="7.19921875" style="398" bestFit="1" customWidth="1"/>
    <col min="70" max="70" width="9.46484375" style="398" bestFit="1" customWidth="1"/>
    <col min="71" max="71" width="10" style="398" bestFit="1" customWidth="1"/>
    <col min="72" max="72" width="7.19921875" style="398" bestFit="1" customWidth="1"/>
    <col min="73" max="73" width="9.19921875" style="398" customWidth="1"/>
    <col min="74" max="74" width="10" style="398" bestFit="1" customWidth="1"/>
    <col min="75" max="75" width="7.19921875" style="398" bestFit="1" customWidth="1"/>
    <col min="76" max="76" width="10" style="398" bestFit="1" customWidth="1"/>
    <col min="77" max="77" width="7.19921875" style="398" bestFit="1" customWidth="1"/>
    <col min="78" max="78" width="10" style="398" bestFit="1" customWidth="1"/>
    <col min="79" max="80" width="9.19921875" style="398" customWidth="1"/>
    <col min="81" max="81" width="10" style="398" bestFit="1" customWidth="1"/>
    <col min="82" max="82" width="7.19921875" style="398" bestFit="1" customWidth="1"/>
    <col min="83" max="83" width="9.19921875" style="398" customWidth="1"/>
    <col min="84" max="84" width="10" style="398" bestFit="1" customWidth="1"/>
    <col min="85" max="85" width="9" style="398" customWidth="1"/>
    <col min="86" max="86" width="10" style="398" bestFit="1" customWidth="1"/>
    <col min="87" max="87" width="9.19921875" style="398" customWidth="1"/>
    <col min="88" max="88" width="10" style="398" bestFit="1" customWidth="1"/>
    <col min="89" max="90" width="9.19921875" style="398" customWidth="1"/>
    <col min="91" max="91" width="10" style="400" bestFit="1" customWidth="1"/>
    <col min="92" max="92" width="9.19921875" style="398" customWidth="1"/>
    <col min="93" max="93" width="10.19921875" style="398" customWidth="1"/>
    <col min="94" max="94" width="10" style="398" bestFit="1" customWidth="1"/>
    <col min="95" max="95" width="9.19921875" style="398" customWidth="1"/>
    <col min="96" max="96" width="10" style="398" bestFit="1" customWidth="1"/>
    <col min="97" max="97" width="9.19921875" style="398" customWidth="1"/>
    <col min="98" max="98" width="10" style="398" bestFit="1" customWidth="1"/>
    <col min="99" max="100" width="9.19921875" style="398" customWidth="1"/>
    <col min="101" max="101" width="10" style="400" bestFit="1" customWidth="1"/>
    <col min="102" max="102" width="9.19921875" style="398" customWidth="1"/>
    <col min="103" max="103" width="11.19921875" style="398" customWidth="1"/>
    <col min="104" max="104" width="10" style="398" bestFit="1" customWidth="1"/>
    <col min="105" max="105" width="9.19921875" style="398" customWidth="1"/>
    <col min="106" max="106" width="10" style="398" bestFit="1" customWidth="1"/>
    <col min="107" max="107" width="9.796875" style="398" customWidth="1"/>
    <col min="108" max="108" width="10" style="398" bestFit="1" customWidth="1"/>
    <col min="109" max="110" width="9.19921875" style="398" customWidth="1"/>
    <col min="111" max="111" width="10" style="400" bestFit="1" customWidth="1"/>
    <col min="112" max="112" width="9.19921875" style="398" customWidth="1"/>
    <col min="113" max="114" width="10" style="398" bestFit="1" customWidth="1"/>
    <col min="115" max="115" width="7.19921875" style="398" bestFit="1" customWidth="1"/>
    <col min="116" max="116" width="10" style="398" bestFit="1" customWidth="1"/>
    <col min="117" max="117" width="7.19921875" style="398" bestFit="1" customWidth="1"/>
    <col min="118" max="118" width="10" style="398" bestFit="1" customWidth="1"/>
    <col min="119" max="120" width="9.19921875" style="398" customWidth="1"/>
    <col min="121" max="121" width="10" style="400" bestFit="1" customWidth="1"/>
    <col min="122" max="122" width="9.19921875" style="398" customWidth="1"/>
    <col min="123" max="124" width="11.53125" style="398" customWidth="1"/>
    <col min="125" max="129" width="9.19921875" style="398" customWidth="1"/>
    <col min="130" max="130" width="10.19921875" style="398" customWidth="1"/>
    <col min="131" max="132" width="9.19921875" style="398" customWidth="1"/>
    <col min="133" max="133" width="15.46484375" style="398" customWidth="1"/>
    <col min="134" max="134" width="13.19921875" style="398" customWidth="1"/>
    <col min="135" max="135" width="10" style="398" bestFit="1" customWidth="1"/>
    <col min="136" max="136" width="7.19921875" style="398" bestFit="1" customWidth="1"/>
    <col min="137" max="137" width="10" style="398" bestFit="1" customWidth="1"/>
    <col min="138" max="138" width="7.19921875" style="398" bestFit="1" customWidth="1"/>
    <col min="139" max="139" width="10" style="398" bestFit="1" customWidth="1"/>
    <col min="140" max="140" width="7.19921875" style="398" bestFit="1" customWidth="1"/>
    <col min="141" max="142" width="10" style="398" bestFit="1" customWidth="1"/>
    <col min="143" max="143" width="11.19921875" style="398" bestFit="1" customWidth="1"/>
    <col min="144" max="144" width="9.19921875" style="398" customWidth="1"/>
    <col min="145" max="145" width="16" style="398" customWidth="1"/>
    <col min="146" max="146" width="12.796875" style="398" customWidth="1"/>
    <col min="147" max="161" width="9.19921875" style="398" customWidth="1"/>
    <col min="162" max="162" width="17.19921875" style="398" customWidth="1"/>
    <col min="163" max="163" width="13.796875" style="399" customWidth="1"/>
    <col min="164" max="164" width="9.19921875" style="398" customWidth="1"/>
    <col min="165" max="165" width="13.796875" style="398" customWidth="1"/>
    <col min="166" max="167" width="9.19921875" style="398" customWidth="1"/>
    <col min="168" max="16384" width="9.19921875" style="398"/>
  </cols>
  <sheetData>
    <row r="1" spans="1:170">
      <c r="A1" s="397" t="s">
        <v>2148</v>
      </c>
      <c r="B1" s="397"/>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397"/>
      <c r="DK1" s="397"/>
      <c r="DL1" s="397"/>
      <c r="DM1" s="397"/>
      <c r="DN1" s="397"/>
      <c r="DO1" s="397"/>
      <c r="DP1" s="397"/>
      <c r="DQ1" s="397"/>
      <c r="DR1" s="397"/>
      <c r="DS1" s="397"/>
      <c r="DT1" s="397"/>
      <c r="DU1" s="397"/>
      <c r="DV1" s="397"/>
      <c r="DW1" s="397"/>
      <c r="DX1" s="397"/>
      <c r="DY1" s="397"/>
      <c r="DZ1" s="397"/>
      <c r="EA1" s="397"/>
      <c r="EB1" s="397"/>
      <c r="EC1" s="397"/>
      <c r="ED1" s="397"/>
      <c r="EE1" s="397"/>
      <c r="EF1" s="397"/>
      <c r="EG1" s="397"/>
      <c r="EH1" s="397"/>
      <c r="EI1" s="397"/>
      <c r="EJ1" s="397"/>
      <c r="EK1" s="397"/>
      <c r="EL1" s="397"/>
      <c r="EM1" s="397"/>
    </row>
    <row r="2" spans="1:170">
      <c r="A2" s="241" t="str">
        <f>+'BS1'!A2</f>
        <v>NIDP DEVELOPERS PRIVATE LIMITED</v>
      </c>
      <c r="B2" s="813"/>
      <c r="C2" s="813"/>
      <c r="D2" s="813"/>
      <c r="E2" s="813"/>
      <c r="F2" s="813"/>
      <c r="G2" s="813"/>
      <c r="H2" s="813"/>
      <c r="I2" s="813"/>
      <c r="J2" s="813"/>
      <c r="K2" s="813"/>
      <c r="L2" s="813"/>
      <c r="M2" s="813"/>
      <c r="N2" s="813"/>
      <c r="O2" s="813"/>
      <c r="P2" s="813"/>
      <c r="Q2" s="813"/>
      <c r="R2" s="813"/>
      <c r="S2" s="813"/>
      <c r="T2" s="813"/>
      <c r="U2" s="813"/>
      <c r="V2" s="813"/>
      <c r="W2" s="813"/>
      <c r="X2" s="813"/>
    </row>
    <row r="3" spans="1:170">
      <c r="A3" s="397" t="s">
        <v>2146</v>
      </c>
      <c r="B3" s="397"/>
      <c r="C3" s="470"/>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row>
    <row r="4" spans="1:170">
      <c r="A4" s="1784"/>
      <c r="B4" s="1784"/>
      <c r="C4" s="1784"/>
      <c r="D4" s="1784"/>
      <c r="E4" s="1784"/>
      <c r="F4" s="1784"/>
      <c r="G4" s="1784"/>
      <c r="H4" s="1784"/>
      <c r="I4" s="1784"/>
      <c r="J4" s="1784"/>
      <c r="K4" s="1784"/>
      <c r="L4" s="1784"/>
      <c r="M4" s="1784"/>
      <c r="N4" s="1784"/>
      <c r="O4" s="1784"/>
      <c r="P4" s="1784"/>
      <c r="Q4" s="1784"/>
      <c r="R4" s="1784"/>
      <c r="S4" s="1785"/>
      <c r="T4" s="1785"/>
      <c r="AO4" s="398"/>
      <c r="AY4" s="398"/>
      <c r="BI4" s="398"/>
      <c r="CM4" s="398"/>
      <c r="CW4" s="398"/>
      <c r="DG4" s="398"/>
      <c r="DQ4" s="398"/>
      <c r="FG4" s="398"/>
    </row>
    <row r="5" spans="1:170" s="403" customFormat="1" ht="12.75" customHeight="1">
      <c r="A5" s="1786" t="s">
        <v>8</v>
      </c>
      <c r="B5" s="1786" t="s">
        <v>1187</v>
      </c>
      <c r="C5" s="1769" t="s">
        <v>1188</v>
      </c>
      <c r="D5" s="1769" t="s">
        <v>1189</v>
      </c>
      <c r="E5" s="1769" t="s">
        <v>1272</v>
      </c>
      <c r="F5" s="1769" t="s">
        <v>1227</v>
      </c>
      <c r="G5" s="1769" t="s">
        <v>1190</v>
      </c>
      <c r="H5" s="1769" t="s">
        <v>1239</v>
      </c>
      <c r="I5" s="1769" t="s">
        <v>1235</v>
      </c>
      <c r="J5" s="1766" t="s">
        <v>1268</v>
      </c>
      <c r="K5" s="1766" t="s">
        <v>1269</v>
      </c>
      <c r="L5" s="1766" t="s">
        <v>1270</v>
      </c>
      <c r="M5" s="1766" t="s">
        <v>1271</v>
      </c>
      <c r="N5" s="1772" t="s">
        <v>166</v>
      </c>
      <c r="O5" s="1779"/>
      <c r="P5" s="1779"/>
      <c r="Q5" s="1779"/>
      <c r="R5" s="1779"/>
      <c r="S5" s="1779"/>
      <c r="T5" s="1779"/>
      <c r="U5" s="1779"/>
      <c r="V5" s="1779"/>
      <c r="W5" s="1779"/>
      <c r="X5" s="1772" t="s">
        <v>167</v>
      </c>
      <c r="Y5" s="1772"/>
      <c r="Z5" s="1779"/>
      <c r="AA5" s="1779"/>
      <c r="AB5" s="1779"/>
      <c r="AC5" s="1779"/>
      <c r="AD5" s="1779"/>
      <c r="AE5" s="1779"/>
      <c r="AF5" s="1779"/>
      <c r="AG5" s="1779"/>
      <c r="AH5" s="1772" t="s">
        <v>168</v>
      </c>
      <c r="AI5" s="1779"/>
      <c r="AJ5" s="1779"/>
      <c r="AK5" s="1779"/>
      <c r="AL5" s="1779"/>
      <c r="AM5" s="1779"/>
      <c r="AN5" s="1779"/>
      <c r="AO5" s="1779"/>
      <c r="AP5" s="1779"/>
      <c r="AQ5" s="1779"/>
      <c r="AR5" s="1777" t="s">
        <v>169</v>
      </c>
      <c r="AS5" s="1778"/>
      <c r="AT5" s="1778"/>
      <c r="AU5" s="1778"/>
      <c r="AV5" s="1778"/>
      <c r="AW5" s="1778"/>
      <c r="AX5" s="1778"/>
      <c r="AY5" s="1778"/>
      <c r="AZ5" s="1778"/>
      <c r="BA5" s="1778"/>
      <c r="BB5" s="1777" t="s">
        <v>170</v>
      </c>
      <c r="BC5" s="1778"/>
      <c r="BD5" s="1778"/>
      <c r="BE5" s="1778"/>
      <c r="BF5" s="1778"/>
      <c r="BG5" s="1778"/>
      <c r="BH5" s="1778"/>
      <c r="BI5" s="1778"/>
      <c r="BJ5" s="1778"/>
      <c r="BK5" s="1778"/>
      <c r="BL5" s="1777" t="s">
        <v>171</v>
      </c>
      <c r="BM5" s="1778"/>
      <c r="BN5" s="1778"/>
      <c r="BO5" s="1778"/>
      <c r="BP5" s="1778"/>
      <c r="BQ5" s="1778"/>
      <c r="BR5" s="1778"/>
      <c r="BS5" s="1778"/>
      <c r="BT5" s="1778"/>
      <c r="BU5" s="1778"/>
      <c r="BV5" s="1777" t="s">
        <v>176</v>
      </c>
      <c r="BW5" s="1778"/>
      <c r="BX5" s="1778"/>
      <c r="BY5" s="1778"/>
      <c r="BZ5" s="1778"/>
      <c r="CA5" s="1778"/>
      <c r="CB5" s="1778"/>
      <c r="CC5" s="1778"/>
      <c r="CD5" s="1778"/>
      <c r="CE5" s="1778"/>
      <c r="CF5" s="1777" t="s">
        <v>172</v>
      </c>
      <c r="CG5" s="1778"/>
      <c r="CH5" s="1778"/>
      <c r="CI5" s="1778"/>
      <c r="CJ5" s="1778"/>
      <c r="CK5" s="1778"/>
      <c r="CL5" s="1778"/>
      <c r="CM5" s="1778"/>
      <c r="CN5" s="1778"/>
      <c r="CO5" s="1778"/>
      <c r="CP5" s="1777" t="s">
        <v>173</v>
      </c>
      <c r="CQ5" s="1778"/>
      <c r="CR5" s="1778"/>
      <c r="CS5" s="1778"/>
      <c r="CT5" s="1778"/>
      <c r="CU5" s="1778"/>
      <c r="CV5" s="1778"/>
      <c r="CW5" s="1778"/>
      <c r="CX5" s="1778"/>
      <c r="CY5" s="1778"/>
      <c r="CZ5" s="1777" t="s">
        <v>175</v>
      </c>
      <c r="DA5" s="1778"/>
      <c r="DB5" s="1778"/>
      <c r="DC5" s="1778"/>
      <c r="DD5" s="1778"/>
      <c r="DE5" s="1778"/>
      <c r="DF5" s="1778"/>
      <c r="DG5" s="1778"/>
      <c r="DH5" s="1778"/>
      <c r="DI5" s="1778"/>
      <c r="DJ5" s="1777" t="s">
        <v>174</v>
      </c>
      <c r="DK5" s="1778"/>
      <c r="DL5" s="1778"/>
      <c r="DM5" s="1778"/>
      <c r="DN5" s="1778"/>
      <c r="DO5" s="1778"/>
      <c r="DP5" s="1778"/>
      <c r="DQ5" s="1778"/>
      <c r="DR5" s="1778"/>
      <c r="DS5" s="1778"/>
      <c r="DT5" s="1772" t="s">
        <v>177</v>
      </c>
      <c r="DU5" s="1772"/>
      <c r="DV5" s="1779"/>
      <c r="DW5" s="1779"/>
      <c r="DX5" s="1779"/>
      <c r="DY5" s="1779"/>
      <c r="DZ5" s="1779"/>
      <c r="EA5" s="1779"/>
      <c r="EB5" s="1779"/>
      <c r="EC5" s="1779"/>
      <c r="ED5" s="1772" t="s">
        <v>18</v>
      </c>
      <c r="EE5" s="1772"/>
      <c r="EF5" s="1772"/>
      <c r="EG5" s="1772"/>
      <c r="EH5" s="1772"/>
      <c r="EI5" s="1772"/>
      <c r="EJ5" s="1772"/>
      <c r="EK5" s="1772"/>
      <c r="EL5" s="1772"/>
      <c r="EM5" s="1772"/>
      <c r="EN5" s="1772"/>
      <c r="EO5" s="1772"/>
      <c r="EP5" s="1772"/>
      <c r="EQ5" s="401"/>
      <c r="ER5" s="402"/>
      <c r="ES5" s="1792"/>
      <c r="ET5" s="1792"/>
      <c r="EU5" s="1792"/>
      <c r="EV5" s="1792"/>
      <c r="EW5" s="1792"/>
      <c r="EX5" s="1792"/>
      <c r="EY5" s="1792"/>
      <c r="EZ5" s="1792"/>
      <c r="FA5" s="1792"/>
      <c r="FB5" s="1792"/>
      <c r="FC5" s="1792"/>
      <c r="FH5" s="1791"/>
      <c r="FI5" s="1791"/>
      <c r="FJ5" s="1791"/>
      <c r="FK5" s="1791"/>
      <c r="FL5" s="1791"/>
      <c r="FM5" s="1791"/>
      <c r="FN5" s="1791"/>
    </row>
    <row r="6" spans="1:170" s="403" customFormat="1" ht="72" customHeight="1">
      <c r="A6" s="1787"/>
      <c r="B6" s="1787"/>
      <c r="C6" s="1770"/>
      <c r="D6" s="1770"/>
      <c r="E6" s="1770"/>
      <c r="F6" s="1770"/>
      <c r="G6" s="1770"/>
      <c r="H6" s="1770"/>
      <c r="I6" s="1770"/>
      <c r="J6" s="1767"/>
      <c r="K6" s="1767"/>
      <c r="L6" s="1767"/>
      <c r="M6" s="1767"/>
      <c r="N6" s="1780" t="s">
        <v>1184</v>
      </c>
      <c r="O6" s="1779" t="s">
        <v>602</v>
      </c>
      <c r="P6" s="1779"/>
      <c r="Q6" s="1779" t="s">
        <v>1236</v>
      </c>
      <c r="R6" s="1779"/>
      <c r="S6" s="1782" t="s">
        <v>2124</v>
      </c>
      <c r="T6" s="1783"/>
      <c r="U6" s="404" t="s">
        <v>1192</v>
      </c>
      <c r="V6" s="1782" t="s">
        <v>199</v>
      </c>
      <c r="W6" s="1783"/>
      <c r="X6" s="1780" t="s">
        <v>1184</v>
      </c>
      <c r="Y6" s="1789" t="s">
        <v>602</v>
      </c>
      <c r="Z6" s="1790"/>
      <c r="AA6" s="1782" t="s">
        <v>1191</v>
      </c>
      <c r="AB6" s="1783"/>
      <c r="AC6" s="1782" t="s">
        <v>2124</v>
      </c>
      <c r="AD6" s="1783"/>
      <c r="AE6" s="404" t="s">
        <v>1192</v>
      </c>
      <c r="AF6" s="1782" t="s">
        <v>199</v>
      </c>
      <c r="AG6" s="1783"/>
      <c r="AH6" s="1780" t="s">
        <v>1184</v>
      </c>
      <c r="AI6" s="1779" t="s">
        <v>1193</v>
      </c>
      <c r="AJ6" s="1779"/>
      <c r="AK6" s="1779" t="s">
        <v>1236</v>
      </c>
      <c r="AL6" s="1779"/>
      <c r="AM6" s="1782" t="s">
        <v>2124</v>
      </c>
      <c r="AN6" s="1783"/>
      <c r="AO6" s="404" t="s">
        <v>1192</v>
      </c>
      <c r="AP6" s="1779" t="s">
        <v>199</v>
      </c>
      <c r="AQ6" s="1779"/>
      <c r="AR6" s="1780" t="s">
        <v>1184</v>
      </c>
      <c r="AS6" s="1779" t="s">
        <v>1193</v>
      </c>
      <c r="AT6" s="1779"/>
      <c r="AU6" s="1779" t="s">
        <v>1236</v>
      </c>
      <c r="AV6" s="1779"/>
      <c r="AW6" s="1782" t="s">
        <v>2124</v>
      </c>
      <c r="AX6" s="1783"/>
      <c r="AY6" s="404" t="s">
        <v>1192</v>
      </c>
      <c r="AZ6" s="1779" t="s">
        <v>199</v>
      </c>
      <c r="BA6" s="1779"/>
      <c r="BB6" s="1780" t="s">
        <v>1184</v>
      </c>
      <c r="BC6" s="1779" t="s">
        <v>1193</v>
      </c>
      <c r="BD6" s="1779"/>
      <c r="BE6" s="1779" t="s">
        <v>1236</v>
      </c>
      <c r="BF6" s="1779"/>
      <c r="BG6" s="1782" t="s">
        <v>2124</v>
      </c>
      <c r="BH6" s="1783"/>
      <c r="BI6" s="404" t="s">
        <v>1192</v>
      </c>
      <c r="BJ6" s="1779" t="s">
        <v>199</v>
      </c>
      <c r="BK6" s="1779"/>
      <c r="BL6" s="1780" t="s">
        <v>1184</v>
      </c>
      <c r="BM6" s="1779" t="s">
        <v>1193</v>
      </c>
      <c r="BN6" s="1779"/>
      <c r="BO6" s="1779" t="s">
        <v>1236</v>
      </c>
      <c r="BP6" s="1779"/>
      <c r="BQ6" s="1782" t="s">
        <v>2124</v>
      </c>
      <c r="BR6" s="1783"/>
      <c r="BS6" s="404" t="s">
        <v>1192</v>
      </c>
      <c r="BT6" s="1782" t="s">
        <v>1194</v>
      </c>
      <c r="BU6" s="1783"/>
      <c r="BV6" s="1780" t="s">
        <v>1184</v>
      </c>
      <c r="BW6" s="1782" t="s">
        <v>1193</v>
      </c>
      <c r="BX6" s="1783"/>
      <c r="BY6" s="1779" t="s">
        <v>1236</v>
      </c>
      <c r="BZ6" s="1779"/>
      <c r="CA6" s="1782" t="s">
        <v>2124</v>
      </c>
      <c r="CB6" s="1783"/>
      <c r="CC6" s="404" t="s">
        <v>1192</v>
      </c>
      <c r="CD6" s="1782" t="s">
        <v>1194</v>
      </c>
      <c r="CE6" s="1783"/>
      <c r="CF6" s="1780" t="s">
        <v>1184</v>
      </c>
      <c r="CG6" s="1782" t="s">
        <v>1193</v>
      </c>
      <c r="CH6" s="1783"/>
      <c r="CI6" s="1779" t="s">
        <v>1236</v>
      </c>
      <c r="CJ6" s="1779"/>
      <c r="CK6" s="1782" t="s">
        <v>2124</v>
      </c>
      <c r="CL6" s="1783"/>
      <c r="CM6" s="404" t="s">
        <v>1192</v>
      </c>
      <c r="CN6" s="1782" t="s">
        <v>1194</v>
      </c>
      <c r="CO6" s="1783"/>
      <c r="CP6" s="1780" t="s">
        <v>1184</v>
      </c>
      <c r="CQ6" s="1782" t="s">
        <v>1193</v>
      </c>
      <c r="CR6" s="1783"/>
      <c r="CS6" s="1779" t="s">
        <v>1236</v>
      </c>
      <c r="CT6" s="1779"/>
      <c r="CU6" s="1782" t="s">
        <v>2124</v>
      </c>
      <c r="CV6" s="1783"/>
      <c r="CW6" s="404" t="s">
        <v>1192</v>
      </c>
      <c r="CX6" s="1782" t="s">
        <v>1194</v>
      </c>
      <c r="CY6" s="1783"/>
      <c r="CZ6" s="1780" t="s">
        <v>1184</v>
      </c>
      <c r="DA6" s="1779" t="s">
        <v>1193</v>
      </c>
      <c r="DB6" s="1779"/>
      <c r="DC6" s="1779" t="s">
        <v>1236</v>
      </c>
      <c r="DD6" s="1779"/>
      <c r="DE6" s="1782" t="s">
        <v>2124</v>
      </c>
      <c r="DF6" s="1783"/>
      <c r="DG6" s="404" t="s">
        <v>1192</v>
      </c>
      <c r="DH6" s="1782" t="s">
        <v>1194</v>
      </c>
      <c r="DI6" s="1783"/>
      <c r="DJ6" s="1780" t="s">
        <v>1184</v>
      </c>
      <c r="DK6" s="1779" t="s">
        <v>1193</v>
      </c>
      <c r="DL6" s="1779"/>
      <c r="DM6" s="1779" t="s">
        <v>1236</v>
      </c>
      <c r="DN6" s="1779"/>
      <c r="DO6" s="1782" t="s">
        <v>2124</v>
      </c>
      <c r="DP6" s="1783"/>
      <c r="DQ6" s="404" t="s">
        <v>1192</v>
      </c>
      <c r="DR6" s="1782" t="s">
        <v>1194</v>
      </c>
      <c r="DS6" s="1783"/>
      <c r="DT6" s="1780" t="s">
        <v>1184</v>
      </c>
      <c r="DU6" s="1779" t="s">
        <v>1193</v>
      </c>
      <c r="DV6" s="1779"/>
      <c r="DW6" s="1779" t="s">
        <v>1236</v>
      </c>
      <c r="DX6" s="1779"/>
      <c r="DY6" s="1782" t="s">
        <v>2124</v>
      </c>
      <c r="DZ6" s="1783"/>
      <c r="EA6" s="404" t="s">
        <v>1192</v>
      </c>
      <c r="EB6" s="1782" t="s">
        <v>1194</v>
      </c>
      <c r="EC6" s="1783"/>
      <c r="ED6" s="1781" t="s">
        <v>1195</v>
      </c>
      <c r="EE6" s="1781" t="s">
        <v>1184</v>
      </c>
      <c r="EF6" s="1781" t="s">
        <v>1196</v>
      </c>
      <c r="EG6" s="1781"/>
      <c r="EH6" s="1793" t="s">
        <v>1237</v>
      </c>
      <c r="EI6" s="1794"/>
      <c r="EJ6" s="1782" t="s">
        <v>2125</v>
      </c>
      <c r="EK6" s="1783"/>
      <c r="EL6" s="405" t="s">
        <v>1192</v>
      </c>
      <c r="EM6" s="1782" t="s">
        <v>1194</v>
      </c>
      <c r="EN6" s="1783"/>
      <c r="EO6" s="404" t="s">
        <v>1273</v>
      </c>
      <c r="EP6" s="404" t="s">
        <v>1274</v>
      </c>
      <c r="EQ6" s="401"/>
      <c r="ER6" s="401"/>
      <c r="ES6" s="401"/>
      <c r="ET6" s="401"/>
      <c r="EU6" s="401"/>
      <c r="EV6" s="401"/>
      <c r="EW6" s="401"/>
      <c r="EX6" s="401"/>
      <c r="EY6" s="401"/>
      <c r="EZ6" s="401"/>
      <c r="FA6" s="401"/>
      <c r="FB6" s="401"/>
      <c r="FC6" s="401"/>
      <c r="FH6" s="1791"/>
      <c r="FI6" s="1791"/>
      <c r="FJ6" s="1791"/>
      <c r="FK6" s="1791"/>
      <c r="FL6" s="1791"/>
      <c r="FM6" s="1791"/>
      <c r="FN6" s="1791"/>
    </row>
    <row r="7" spans="1:170" s="403" customFormat="1" ht="57.75" customHeight="1">
      <c r="A7" s="1788"/>
      <c r="B7" s="1788"/>
      <c r="C7" s="1771"/>
      <c r="D7" s="1771"/>
      <c r="E7" s="1771"/>
      <c r="F7" s="1771"/>
      <c r="G7" s="1771"/>
      <c r="H7" s="1771"/>
      <c r="I7" s="1771"/>
      <c r="J7" s="1768"/>
      <c r="K7" s="1768"/>
      <c r="L7" s="1768"/>
      <c r="M7" s="1768"/>
      <c r="N7" s="1781"/>
      <c r="O7" s="404" t="s">
        <v>1173</v>
      </c>
      <c r="P7" s="404" t="s">
        <v>1197</v>
      </c>
      <c r="Q7" s="404" t="s">
        <v>1173</v>
      </c>
      <c r="R7" s="404" t="s">
        <v>1197</v>
      </c>
      <c r="S7" s="404" t="s">
        <v>1173</v>
      </c>
      <c r="T7" s="404" t="s">
        <v>1197</v>
      </c>
      <c r="U7" s="404" t="s">
        <v>1197</v>
      </c>
      <c r="V7" s="404" t="s">
        <v>1173</v>
      </c>
      <c r="W7" s="404" t="s">
        <v>1197</v>
      </c>
      <c r="X7" s="1781"/>
      <c r="Y7" s="404" t="s">
        <v>1173</v>
      </c>
      <c r="Z7" s="404" t="s">
        <v>1197</v>
      </c>
      <c r="AA7" s="404" t="s">
        <v>1173</v>
      </c>
      <c r="AB7" s="404" t="s">
        <v>1197</v>
      </c>
      <c r="AC7" s="404" t="s">
        <v>1173</v>
      </c>
      <c r="AD7" s="404" t="s">
        <v>1197</v>
      </c>
      <c r="AE7" s="404" t="s">
        <v>1197</v>
      </c>
      <c r="AF7" s="404" t="s">
        <v>1173</v>
      </c>
      <c r="AG7" s="404" t="s">
        <v>1197</v>
      </c>
      <c r="AH7" s="1781"/>
      <c r="AI7" s="404" t="s">
        <v>1173</v>
      </c>
      <c r="AJ7" s="404" t="s">
        <v>1197</v>
      </c>
      <c r="AK7" s="404" t="s">
        <v>1173</v>
      </c>
      <c r="AL7" s="404" t="s">
        <v>1197</v>
      </c>
      <c r="AM7" s="404" t="s">
        <v>1173</v>
      </c>
      <c r="AN7" s="404" t="s">
        <v>1197</v>
      </c>
      <c r="AO7" s="404" t="s">
        <v>1197</v>
      </c>
      <c r="AP7" s="404" t="s">
        <v>1173</v>
      </c>
      <c r="AQ7" s="404" t="s">
        <v>1197</v>
      </c>
      <c r="AR7" s="1781"/>
      <c r="AS7" s="404" t="s">
        <v>1173</v>
      </c>
      <c r="AT7" s="404" t="s">
        <v>1197</v>
      </c>
      <c r="AU7" s="404" t="s">
        <v>1173</v>
      </c>
      <c r="AV7" s="404" t="s">
        <v>1197</v>
      </c>
      <c r="AW7" s="404" t="s">
        <v>1173</v>
      </c>
      <c r="AX7" s="404" t="s">
        <v>1197</v>
      </c>
      <c r="AY7" s="404" t="s">
        <v>1197</v>
      </c>
      <c r="AZ7" s="404" t="s">
        <v>1173</v>
      </c>
      <c r="BA7" s="404" t="s">
        <v>1197</v>
      </c>
      <c r="BB7" s="1781"/>
      <c r="BC7" s="404" t="s">
        <v>1173</v>
      </c>
      <c r="BD7" s="404" t="s">
        <v>1197</v>
      </c>
      <c r="BE7" s="404" t="s">
        <v>1173</v>
      </c>
      <c r="BF7" s="404" t="s">
        <v>1197</v>
      </c>
      <c r="BG7" s="404" t="s">
        <v>1173</v>
      </c>
      <c r="BH7" s="404" t="s">
        <v>1197</v>
      </c>
      <c r="BI7" s="404" t="s">
        <v>1197</v>
      </c>
      <c r="BJ7" s="404" t="s">
        <v>1173</v>
      </c>
      <c r="BK7" s="404" t="s">
        <v>1197</v>
      </c>
      <c r="BL7" s="1781"/>
      <c r="BM7" s="404" t="s">
        <v>1173</v>
      </c>
      <c r="BN7" s="404" t="s">
        <v>1197</v>
      </c>
      <c r="BO7" s="404" t="s">
        <v>1173</v>
      </c>
      <c r="BP7" s="404" t="s">
        <v>1197</v>
      </c>
      <c r="BQ7" s="404" t="s">
        <v>1173</v>
      </c>
      <c r="BR7" s="404" t="s">
        <v>1197</v>
      </c>
      <c r="BS7" s="404" t="s">
        <v>1197</v>
      </c>
      <c r="BT7" s="404" t="s">
        <v>1173</v>
      </c>
      <c r="BU7" s="404" t="s">
        <v>1197</v>
      </c>
      <c r="BV7" s="1781"/>
      <c r="BW7" s="404" t="s">
        <v>1173</v>
      </c>
      <c r="BX7" s="404" t="s">
        <v>1197</v>
      </c>
      <c r="BY7" s="404" t="s">
        <v>1173</v>
      </c>
      <c r="BZ7" s="404" t="s">
        <v>1197</v>
      </c>
      <c r="CA7" s="404" t="s">
        <v>1173</v>
      </c>
      <c r="CB7" s="404" t="s">
        <v>1197</v>
      </c>
      <c r="CC7" s="404" t="s">
        <v>1197</v>
      </c>
      <c r="CD7" s="404" t="s">
        <v>1173</v>
      </c>
      <c r="CE7" s="404" t="s">
        <v>1197</v>
      </c>
      <c r="CF7" s="1781"/>
      <c r="CG7" s="404" t="s">
        <v>1173</v>
      </c>
      <c r="CH7" s="404" t="s">
        <v>1197</v>
      </c>
      <c r="CI7" s="404" t="s">
        <v>1173</v>
      </c>
      <c r="CJ7" s="404" t="s">
        <v>1197</v>
      </c>
      <c r="CK7" s="404" t="s">
        <v>1173</v>
      </c>
      <c r="CL7" s="404" t="s">
        <v>1197</v>
      </c>
      <c r="CM7" s="404" t="s">
        <v>1197</v>
      </c>
      <c r="CN7" s="404" t="s">
        <v>1173</v>
      </c>
      <c r="CO7" s="404" t="s">
        <v>1197</v>
      </c>
      <c r="CP7" s="1781"/>
      <c r="CQ7" s="404" t="s">
        <v>1173</v>
      </c>
      <c r="CR7" s="404" t="s">
        <v>1197</v>
      </c>
      <c r="CS7" s="404" t="s">
        <v>1173</v>
      </c>
      <c r="CT7" s="404" t="s">
        <v>1197</v>
      </c>
      <c r="CU7" s="404" t="s">
        <v>1173</v>
      </c>
      <c r="CV7" s="404" t="s">
        <v>1197</v>
      </c>
      <c r="CW7" s="404" t="s">
        <v>1197</v>
      </c>
      <c r="CX7" s="404" t="s">
        <v>1173</v>
      </c>
      <c r="CY7" s="404" t="s">
        <v>1197</v>
      </c>
      <c r="CZ7" s="1781"/>
      <c r="DA7" s="404" t="s">
        <v>1173</v>
      </c>
      <c r="DB7" s="404" t="s">
        <v>1197</v>
      </c>
      <c r="DC7" s="404" t="s">
        <v>1173</v>
      </c>
      <c r="DD7" s="404" t="s">
        <v>1197</v>
      </c>
      <c r="DE7" s="404" t="s">
        <v>1173</v>
      </c>
      <c r="DF7" s="404" t="s">
        <v>1197</v>
      </c>
      <c r="DG7" s="404" t="s">
        <v>1197</v>
      </c>
      <c r="DH7" s="404" t="s">
        <v>1173</v>
      </c>
      <c r="DI7" s="404" t="s">
        <v>1197</v>
      </c>
      <c r="DJ7" s="1781"/>
      <c r="DK7" s="404" t="s">
        <v>1173</v>
      </c>
      <c r="DL7" s="404" t="s">
        <v>1197</v>
      </c>
      <c r="DM7" s="404" t="s">
        <v>1173</v>
      </c>
      <c r="DN7" s="404" t="s">
        <v>1197</v>
      </c>
      <c r="DO7" s="404" t="s">
        <v>1173</v>
      </c>
      <c r="DP7" s="404" t="s">
        <v>1197</v>
      </c>
      <c r="DQ7" s="404" t="s">
        <v>1197</v>
      </c>
      <c r="DR7" s="404" t="s">
        <v>1173</v>
      </c>
      <c r="DS7" s="404" t="s">
        <v>1197</v>
      </c>
      <c r="DT7" s="1781"/>
      <c r="DU7" s="404" t="s">
        <v>1173</v>
      </c>
      <c r="DV7" s="404" t="s">
        <v>1197</v>
      </c>
      <c r="DW7" s="404" t="s">
        <v>1173</v>
      </c>
      <c r="DX7" s="404" t="s">
        <v>1197</v>
      </c>
      <c r="DY7" s="404" t="s">
        <v>1173</v>
      </c>
      <c r="DZ7" s="404" t="s">
        <v>1197</v>
      </c>
      <c r="EA7" s="404" t="s">
        <v>1197</v>
      </c>
      <c r="EB7" s="404" t="s">
        <v>1173</v>
      </c>
      <c r="EC7" s="404" t="s">
        <v>1197</v>
      </c>
      <c r="ED7" s="1779"/>
      <c r="EE7" s="1779"/>
      <c r="EF7" s="404" t="s">
        <v>1173</v>
      </c>
      <c r="EG7" s="404" t="s">
        <v>1197</v>
      </c>
      <c r="EH7" s="404" t="s">
        <v>1173</v>
      </c>
      <c r="EI7" s="404" t="s">
        <v>1197</v>
      </c>
      <c r="EJ7" s="404" t="s">
        <v>1173</v>
      </c>
      <c r="EK7" s="404" t="s">
        <v>1197</v>
      </c>
      <c r="EL7" s="404" t="s">
        <v>1197</v>
      </c>
      <c r="EM7" s="404" t="s">
        <v>1173</v>
      </c>
      <c r="EN7" s="404" t="s">
        <v>1197</v>
      </c>
      <c r="EO7" s="404" t="s">
        <v>1173</v>
      </c>
      <c r="EP7" s="404" t="s">
        <v>1173</v>
      </c>
      <c r="ER7" s="433"/>
      <c r="ES7" s="433"/>
      <c r="ET7" s="433"/>
      <c r="EU7" s="433"/>
      <c r="EV7" s="433"/>
      <c r="EW7" s="433"/>
      <c r="EX7" s="433"/>
      <c r="EY7" s="433"/>
      <c r="EZ7" s="433"/>
      <c r="FA7" s="433"/>
      <c r="FB7" s="433"/>
      <c r="FC7" s="433"/>
      <c r="FH7" s="1791"/>
      <c r="FI7" s="1791"/>
      <c r="FJ7" s="1791"/>
      <c r="FK7" s="1791"/>
      <c r="FL7" s="1791"/>
      <c r="FM7" s="1791"/>
      <c r="FN7" s="1791"/>
    </row>
    <row r="8" spans="1:170" ht="15" customHeight="1">
      <c r="A8" s="410" t="s">
        <v>32</v>
      </c>
      <c r="B8" s="406" t="s">
        <v>1229</v>
      </c>
      <c r="C8" s="407"/>
      <c r="D8" s="407"/>
      <c r="E8" s="407"/>
      <c r="F8" s="407"/>
      <c r="G8" s="407"/>
      <c r="H8" s="407"/>
      <c r="I8" s="407"/>
      <c r="J8" s="407"/>
      <c r="K8" s="407"/>
      <c r="L8" s="407"/>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8"/>
      <c r="BJ8" s="408"/>
      <c r="BK8" s="408"/>
      <c r="BL8" s="408"/>
      <c r="BM8" s="408"/>
      <c r="BN8" s="408"/>
      <c r="BO8" s="408"/>
      <c r="BP8" s="408"/>
      <c r="BQ8" s="408"/>
      <c r="BR8" s="408"/>
      <c r="BS8" s="408"/>
      <c r="BT8" s="408"/>
      <c r="BU8" s="408"/>
      <c r="BV8" s="408"/>
      <c r="BW8" s="408"/>
      <c r="BX8" s="408"/>
      <c r="BY8" s="408"/>
      <c r="BZ8" s="408"/>
      <c r="CA8" s="408"/>
      <c r="CB8" s="408"/>
      <c r="CC8" s="408"/>
      <c r="CD8" s="408"/>
      <c r="CE8" s="408"/>
      <c r="CF8" s="408"/>
      <c r="CG8" s="408"/>
      <c r="CH8" s="408"/>
      <c r="CI8" s="408"/>
      <c r="CJ8" s="408"/>
      <c r="CK8" s="408"/>
      <c r="CL8" s="408"/>
      <c r="CM8" s="408"/>
      <c r="CN8" s="408"/>
      <c r="CO8" s="408"/>
      <c r="CP8" s="408"/>
      <c r="CQ8" s="408"/>
      <c r="CR8" s="408"/>
      <c r="CS8" s="408"/>
      <c r="CT8" s="408"/>
      <c r="CU8" s="408"/>
      <c r="CV8" s="408"/>
      <c r="CW8" s="408"/>
      <c r="CX8" s="408"/>
      <c r="CY8" s="408"/>
      <c r="CZ8" s="408"/>
      <c r="DA8" s="408"/>
      <c r="DB8" s="408"/>
      <c r="DC8" s="408"/>
      <c r="DD8" s="408"/>
      <c r="DE8" s="408"/>
      <c r="DF8" s="408"/>
      <c r="DG8" s="408"/>
      <c r="DH8" s="408"/>
      <c r="DI8" s="408"/>
      <c r="DJ8" s="408"/>
      <c r="DK8" s="408"/>
      <c r="DL8" s="408"/>
      <c r="DM8" s="408"/>
      <c r="DN8" s="408"/>
      <c r="DO8" s="408"/>
      <c r="DP8" s="408"/>
      <c r="DQ8" s="408"/>
      <c r="DR8" s="408"/>
      <c r="DS8" s="408"/>
      <c r="DT8" s="408"/>
      <c r="DU8" s="408"/>
      <c r="DV8" s="408"/>
      <c r="DW8" s="408"/>
      <c r="DX8" s="408"/>
      <c r="DY8" s="408"/>
      <c r="DZ8" s="408"/>
      <c r="EA8" s="408"/>
      <c r="EB8" s="408"/>
      <c r="EC8" s="408"/>
      <c r="ED8" s="408"/>
      <c r="EE8" s="408"/>
      <c r="EF8" s="408"/>
      <c r="EG8" s="408"/>
      <c r="EH8" s="408"/>
      <c r="EI8" s="408"/>
      <c r="EJ8" s="408"/>
      <c r="EK8" s="408"/>
      <c r="EL8" s="408"/>
      <c r="EM8" s="451"/>
      <c r="EN8" s="408"/>
      <c r="EO8" s="408"/>
      <c r="EP8" s="408"/>
      <c r="FG8" s="409"/>
      <c r="FH8" s="409"/>
      <c r="FI8" s="409"/>
      <c r="FJ8" s="409"/>
      <c r="FK8" s="409"/>
      <c r="FL8" s="409"/>
      <c r="FM8" s="409"/>
    </row>
    <row r="9" spans="1:170" ht="28.5">
      <c r="A9" s="410">
        <v>1</v>
      </c>
      <c r="B9" s="57" t="s">
        <v>1288</v>
      </c>
      <c r="C9" s="407"/>
      <c r="D9" s="407"/>
      <c r="E9" s="407"/>
      <c r="F9" s="407"/>
      <c r="G9" s="407"/>
      <c r="H9" s="407"/>
      <c r="I9" s="407"/>
      <c r="J9" s="407"/>
      <c r="K9" s="407"/>
      <c r="L9" s="407"/>
      <c r="M9" s="408"/>
      <c r="N9" s="408"/>
      <c r="O9" s="408"/>
      <c r="P9" s="408"/>
      <c r="Q9" s="408"/>
      <c r="R9" s="408"/>
      <c r="S9" s="408"/>
      <c r="T9" s="408"/>
      <c r="U9" s="408"/>
      <c r="V9" s="408"/>
      <c r="W9" s="408"/>
      <c r="X9" s="408"/>
      <c r="Y9" s="408"/>
      <c r="Z9" s="408"/>
      <c r="AA9" s="408"/>
      <c r="AB9" s="408"/>
      <c r="AC9" s="408"/>
      <c r="AD9" s="408"/>
      <c r="AE9" s="408"/>
      <c r="AF9" s="408"/>
      <c r="AG9" s="408"/>
      <c r="AH9" s="408"/>
      <c r="AI9" s="408"/>
      <c r="AJ9" s="408"/>
      <c r="AK9" s="408"/>
      <c r="AL9" s="408"/>
      <c r="AM9" s="408"/>
      <c r="AN9" s="408"/>
      <c r="AO9" s="408"/>
      <c r="AP9" s="408"/>
      <c r="AQ9" s="408"/>
      <c r="AR9" s="408"/>
      <c r="AS9" s="408"/>
      <c r="AT9" s="408"/>
      <c r="AU9" s="408"/>
      <c r="AV9" s="408"/>
      <c r="AW9" s="408"/>
      <c r="AX9" s="408"/>
      <c r="AY9" s="408"/>
      <c r="AZ9" s="408"/>
      <c r="BA9" s="408"/>
      <c r="BB9" s="408"/>
      <c r="BC9" s="408"/>
      <c r="BD9" s="408"/>
      <c r="BE9" s="408"/>
      <c r="BF9" s="408"/>
      <c r="BG9" s="408"/>
      <c r="BH9" s="408"/>
      <c r="BI9" s="408"/>
      <c r="BJ9" s="408"/>
      <c r="BK9" s="408"/>
      <c r="BL9" s="408"/>
      <c r="BM9" s="408"/>
      <c r="BN9" s="408"/>
      <c r="BO9" s="408"/>
      <c r="BP9" s="408"/>
      <c r="BQ9" s="408"/>
      <c r="BR9" s="408"/>
      <c r="BS9" s="408"/>
      <c r="BT9" s="408"/>
      <c r="BU9" s="408"/>
      <c r="BV9" s="408"/>
      <c r="BW9" s="408"/>
      <c r="BX9" s="408"/>
      <c r="BY9" s="408"/>
      <c r="BZ9" s="408"/>
      <c r="CA9" s="408"/>
      <c r="CB9" s="408"/>
      <c r="CC9" s="408"/>
      <c r="CD9" s="408"/>
      <c r="CE9" s="408"/>
      <c r="CF9" s="408"/>
      <c r="CG9" s="408"/>
      <c r="CH9" s="408"/>
      <c r="CI9" s="408"/>
      <c r="CJ9" s="408"/>
      <c r="CK9" s="408"/>
      <c r="CL9" s="408"/>
      <c r="CM9" s="408"/>
      <c r="CN9" s="408"/>
      <c r="CO9" s="408"/>
      <c r="CP9" s="408"/>
      <c r="CQ9" s="408"/>
      <c r="CR9" s="408"/>
      <c r="CS9" s="408"/>
      <c r="CT9" s="408"/>
      <c r="CU9" s="408"/>
      <c r="CV9" s="408"/>
      <c r="CW9" s="408"/>
      <c r="CX9" s="408"/>
      <c r="CY9" s="408"/>
      <c r="CZ9" s="408"/>
      <c r="DA9" s="408"/>
      <c r="DB9" s="408"/>
      <c r="DC9" s="408"/>
      <c r="DD9" s="408"/>
      <c r="DE9" s="408"/>
      <c r="DF9" s="408"/>
      <c r="DG9" s="408"/>
      <c r="DH9" s="408"/>
      <c r="DI9" s="408"/>
      <c r="DJ9" s="408"/>
      <c r="DK9" s="408"/>
      <c r="DL9" s="408"/>
      <c r="DM9" s="408"/>
      <c r="DN9" s="408"/>
      <c r="DO9" s="408"/>
      <c r="DP9" s="408"/>
      <c r="DQ9" s="408"/>
      <c r="DR9" s="408"/>
      <c r="DS9" s="408"/>
      <c r="DT9" s="408"/>
      <c r="DU9" s="408"/>
      <c r="DV9" s="408"/>
      <c r="DW9" s="408"/>
      <c r="DX9" s="408"/>
      <c r="DY9" s="408"/>
      <c r="DZ9" s="408"/>
      <c r="EA9" s="408"/>
      <c r="EB9" s="408"/>
      <c r="EC9" s="408"/>
      <c r="ED9" s="408"/>
      <c r="EE9" s="408"/>
      <c r="EF9" s="408"/>
      <c r="EG9" s="408"/>
      <c r="EH9" s="408"/>
      <c r="EI9" s="408"/>
      <c r="EJ9" s="408"/>
      <c r="EK9" s="408"/>
      <c r="EL9" s="408"/>
      <c r="EM9" s="451"/>
      <c r="EN9" s="408"/>
      <c r="EO9" s="408"/>
      <c r="EP9" s="408"/>
      <c r="FG9" s="409"/>
      <c r="FH9" s="409"/>
      <c r="FI9" s="409"/>
      <c r="FJ9" s="409"/>
      <c r="FK9" s="409"/>
      <c r="FL9" s="409"/>
      <c r="FM9" s="409"/>
    </row>
    <row r="10" spans="1:170" ht="15" hidden="1" customHeight="1">
      <c r="A10" s="410"/>
      <c r="B10" s="406"/>
      <c r="C10" s="407"/>
      <c r="D10" s="407"/>
      <c r="E10" s="407"/>
      <c r="F10" s="407"/>
      <c r="G10" s="407"/>
      <c r="H10" s="407"/>
      <c r="I10" s="407"/>
      <c r="J10" s="407"/>
      <c r="K10" s="407"/>
      <c r="L10" s="407"/>
      <c r="M10" s="408"/>
      <c r="N10" s="408"/>
      <c r="O10" s="408"/>
      <c r="P10" s="408"/>
      <c r="Q10" s="408"/>
      <c r="R10" s="408"/>
      <c r="S10" s="408"/>
      <c r="T10" s="408"/>
      <c r="U10" s="408"/>
      <c r="V10" s="408"/>
      <c r="W10" s="408"/>
      <c r="X10" s="408"/>
      <c r="Y10" s="408"/>
      <c r="Z10" s="408"/>
      <c r="AA10" s="408"/>
      <c r="AB10" s="408"/>
      <c r="AC10" s="408"/>
      <c r="AD10" s="408"/>
      <c r="AE10" s="408"/>
      <c r="AF10" s="408"/>
      <c r="AG10" s="408"/>
      <c r="AH10" s="408"/>
      <c r="AI10" s="408"/>
      <c r="AJ10" s="408"/>
      <c r="AK10" s="408"/>
      <c r="AL10" s="408"/>
      <c r="AM10" s="408"/>
      <c r="AN10" s="408"/>
      <c r="AO10" s="408"/>
      <c r="AP10" s="408"/>
      <c r="AQ10" s="408"/>
      <c r="AR10" s="408"/>
      <c r="AS10" s="408"/>
      <c r="AT10" s="408"/>
      <c r="AU10" s="408"/>
      <c r="AV10" s="408"/>
      <c r="AW10" s="408"/>
      <c r="AX10" s="408"/>
      <c r="AY10" s="408"/>
      <c r="AZ10" s="408"/>
      <c r="BA10" s="408"/>
      <c r="BB10" s="408"/>
      <c r="BC10" s="408"/>
      <c r="BD10" s="408"/>
      <c r="BE10" s="408"/>
      <c r="BF10" s="408"/>
      <c r="BG10" s="408"/>
      <c r="BH10" s="408"/>
      <c r="BI10" s="408"/>
      <c r="BJ10" s="408"/>
      <c r="BK10" s="408"/>
      <c r="BL10" s="408"/>
      <c r="BM10" s="408"/>
      <c r="BN10" s="408"/>
      <c r="BO10" s="408"/>
      <c r="BP10" s="408"/>
      <c r="BQ10" s="408"/>
      <c r="BR10" s="408"/>
      <c r="BS10" s="408"/>
      <c r="BT10" s="408"/>
      <c r="BU10" s="408"/>
      <c r="BV10" s="408"/>
      <c r="BW10" s="408"/>
      <c r="BX10" s="408"/>
      <c r="BY10" s="408"/>
      <c r="BZ10" s="408"/>
      <c r="CA10" s="408"/>
      <c r="CB10" s="408"/>
      <c r="CC10" s="408"/>
      <c r="CD10" s="408"/>
      <c r="CE10" s="408"/>
      <c r="CF10" s="408"/>
      <c r="CG10" s="408"/>
      <c r="CH10" s="408"/>
      <c r="CI10" s="408"/>
      <c r="CJ10" s="408"/>
      <c r="CK10" s="408"/>
      <c r="CL10" s="408"/>
      <c r="CM10" s="408"/>
      <c r="CN10" s="408"/>
      <c r="CO10" s="408"/>
      <c r="CP10" s="408"/>
      <c r="CQ10" s="408"/>
      <c r="CR10" s="408"/>
      <c r="CS10" s="408"/>
      <c r="CT10" s="408"/>
      <c r="CU10" s="408"/>
      <c r="CV10" s="408"/>
      <c r="CW10" s="408"/>
      <c r="CX10" s="408"/>
      <c r="CY10" s="408"/>
      <c r="CZ10" s="408"/>
      <c r="DA10" s="408"/>
      <c r="DB10" s="408"/>
      <c r="DC10" s="408"/>
      <c r="DD10" s="408"/>
      <c r="DE10" s="408"/>
      <c r="DF10" s="408"/>
      <c r="DG10" s="408"/>
      <c r="DH10" s="408"/>
      <c r="DI10" s="408"/>
      <c r="DJ10" s="408"/>
      <c r="DK10" s="408"/>
      <c r="DL10" s="408"/>
      <c r="DM10" s="408"/>
      <c r="DN10" s="408"/>
      <c r="DO10" s="408"/>
      <c r="DP10" s="408"/>
      <c r="DQ10" s="408"/>
      <c r="DR10" s="408"/>
      <c r="DS10" s="408"/>
      <c r="DT10" s="408"/>
      <c r="DU10" s="408"/>
      <c r="DV10" s="408"/>
      <c r="DW10" s="408"/>
      <c r="DX10" s="408"/>
      <c r="DY10" s="408"/>
      <c r="DZ10" s="408"/>
      <c r="EA10" s="408"/>
      <c r="EB10" s="408"/>
      <c r="EC10" s="408"/>
      <c r="ED10" s="408"/>
      <c r="EE10" s="408"/>
      <c r="EF10" s="408"/>
      <c r="EG10" s="408"/>
      <c r="EH10" s="408"/>
      <c r="EI10" s="408"/>
      <c r="EJ10" s="408"/>
      <c r="EK10" s="408"/>
      <c r="EL10" s="408"/>
      <c r="EM10" s="451"/>
      <c r="EN10" s="408"/>
      <c r="EO10" s="408"/>
      <c r="EP10" s="408"/>
      <c r="FG10" s="409"/>
      <c r="FH10" s="409"/>
      <c r="FI10" s="409"/>
      <c r="FJ10" s="409"/>
      <c r="FK10" s="409"/>
      <c r="FL10" s="409"/>
      <c r="FM10" s="409"/>
    </row>
    <row r="11" spans="1:170" ht="15" customHeight="1">
      <c r="A11" s="410">
        <v>2</v>
      </c>
      <c r="B11" s="181" t="s">
        <v>1289</v>
      </c>
      <c r="C11" s="407"/>
      <c r="D11" s="407"/>
      <c r="E11" s="407"/>
      <c r="F11" s="407"/>
      <c r="G11" s="407"/>
      <c r="H11" s="407"/>
      <c r="I11" s="407"/>
      <c r="J11" s="407"/>
      <c r="K11" s="407"/>
      <c r="L11" s="407"/>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c r="AL11" s="408"/>
      <c r="AM11" s="408"/>
      <c r="AN11" s="408"/>
      <c r="AO11" s="408"/>
      <c r="AP11" s="408"/>
      <c r="AQ11" s="408"/>
      <c r="AR11" s="408"/>
      <c r="AS11" s="408"/>
      <c r="AT11" s="408"/>
      <c r="AU11" s="408"/>
      <c r="AV11" s="408"/>
      <c r="AW11" s="408"/>
      <c r="AX11" s="408"/>
      <c r="AY11" s="408"/>
      <c r="AZ11" s="408"/>
      <c r="BA11" s="408"/>
      <c r="BB11" s="408"/>
      <c r="BC11" s="408"/>
      <c r="BD11" s="408"/>
      <c r="BE11" s="408"/>
      <c r="BF11" s="408"/>
      <c r="BG11" s="408"/>
      <c r="BH11" s="408"/>
      <c r="BI11" s="408"/>
      <c r="BJ11" s="408"/>
      <c r="BK11" s="408"/>
      <c r="BL11" s="408"/>
      <c r="BM11" s="408"/>
      <c r="BN11" s="408"/>
      <c r="BO11" s="408"/>
      <c r="BP11" s="408"/>
      <c r="BQ11" s="408"/>
      <c r="BR11" s="408"/>
      <c r="BS11" s="408"/>
      <c r="BT11" s="408"/>
      <c r="BU11" s="408"/>
      <c r="BV11" s="408"/>
      <c r="BW11" s="408"/>
      <c r="BX11" s="408"/>
      <c r="BY11" s="408"/>
      <c r="BZ11" s="408"/>
      <c r="CA11" s="408"/>
      <c r="CB11" s="408"/>
      <c r="CC11" s="408"/>
      <c r="CD11" s="408"/>
      <c r="CE11" s="408"/>
      <c r="CF11" s="408"/>
      <c r="CG11" s="408"/>
      <c r="CH11" s="408"/>
      <c r="CI11" s="408"/>
      <c r="CJ11" s="408"/>
      <c r="CK11" s="408"/>
      <c r="CL11" s="408"/>
      <c r="CM11" s="408"/>
      <c r="CN11" s="408"/>
      <c r="CO11" s="408"/>
      <c r="CP11" s="408"/>
      <c r="CQ11" s="408"/>
      <c r="CR11" s="408"/>
      <c r="CS11" s="408"/>
      <c r="CT11" s="408"/>
      <c r="CU11" s="408"/>
      <c r="CV11" s="408"/>
      <c r="CW11" s="408"/>
      <c r="CX11" s="408"/>
      <c r="CY11" s="408"/>
      <c r="CZ11" s="408"/>
      <c r="DA11" s="408"/>
      <c r="DB11" s="408"/>
      <c r="DC11" s="408"/>
      <c r="DD11" s="408"/>
      <c r="DE11" s="408"/>
      <c r="DF11" s="408"/>
      <c r="DG11" s="408"/>
      <c r="DH11" s="408"/>
      <c r="DI11" s="408"/>
      <c r="DJ11" s="408"/>
      <c r="DK11" s="408"/>
      <c r="DL11" s="408"/>
      <c r="DM11" s="408"/>
      <c r="DN11" s="408"/>
      <c r="DO11" s="408"/>
      <c r="DP11" s="408"/>
      <c r="DQ11" s="408"/>
      <c r="DR11" s="408"/>
      <c r="DS11" s="408"/>
      <c r="DT11" s="408"/>
      <c r="DU11" s="408"/>
      <c r="DV11" s="408"/>
      <c r="DW11" s="408"/>
      <c r="DX11" s="408"/>
      <c r="DY11" s="408"/>
      <c r="DZ11" s="408"/>
      <c r="EA11" s="408"/>
      <c r="EB11" s="408"/>
      <c r="EC11" s="408"/>
      <c r="ED11" s="408"/>
      <c r="EE11" s="408"/>
      <c r="EF11" s="408"/>
      <c r="EG11" s="408"/>
      <c r="EH11" s="408"/>
      <c r="EI11" s="408"/>
      <c r="EJ11" s="408"/>
      <c r="EK11" s="408"/>
      <c r="EL11" s="408"/>
      <c r="EM11" s="451"/>
      <c r="EN11" s="408"/>
      <c r="EO11" s="408"/>
      <c r="EP11" s="408"/>
      <c r="FG11" s="409"/>
      <c r="FH11" s="409"/>
      <c r="FI11" s="409"/>
      <c r="FJ11" s="409"/>
      <c r="FK11" s="409"/>
      <c r="FL11" s="409"/>
      <c r="FM11" s="409"/>
    </row>
    <row r="12" spans="1:170" ht="15" hidden="1" customHeight="1">
      <c r="A12" s="410" t="s">
        <v>82</v>
      </c>
      <c r="B12" s="459" t="s">
        <v>1290</v>
      </c>
      <c r="C12" s="407"/>
      <c r="D12" s="407"/>
      <c r="E12" s="407"/>
      <c r="F12" s="407"/>
      <c r="G12" s="407"/>
      <c r="H12" s="407"/>
      <c r="I12" s="407"/>
      <c r="J12" s="407"/>
      <c r="K12" s="407"/>
      <c r="L12" s="407"/>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c r="AL12" s="408"/>
      <c r="AM12" s="408"/>
      <c r="AN12" s="408"/>
      <c r="AO12" s="408"/>
      <c r="AP12" s="408"/>
      <c r="AQ12" s="408"/>
      <c r="AR12" s="408"/>
      <c r="AS12" s="408"/>
      <c r="AT12" s="408"/>
      <c r="AU12" s="408"/>
      <c r="AV12" s="408"/>
      <c r="AW12" s="408"/>
      <c r="AX12" s="408"/>
      <c r="AY12" s="408"/>
      <c r="AZ12" s="408"/>
      <c r="BA12" s="408"/>
      <c r="BB12" s="408"/>
      <c r="BC12" s="408"/>
      <c r="BD12" s="408"/>
      <c r="BE12" s="408"/>
      <c r="BF12" s="408"/>
      <c r="BG12" s="408"/>
      <c r="BH12" s="408"/>
      <c r="BI12" s="408"/>
      <c r="BJ12" s="408"/>
      <c r="BK12" s="408"/>
      <c r="BL12" s="408"/>
      <c r="BM12" s="408"/>
      <c r="BN12" s="408"/>
      <c r="BO12" s="408"/>
      <c r="BP12" s="408"/>
      <c r="BQ12" s="408"/>
      <c r="BR12" s="408"/>
      <c r="BS12" s="408"/>
      <c r="BT12" s="408"/>
      <c r="BU12" s="408"/>
      <c r="BV12" s="408"/>
      <c r="BW12" s="408"/>
      <c r="BX12" s="408"/>
      <c r="BY12" s="408"/>
      <c r="BZ12" s="408"/>
      <c r="CA12" s="408"/>
      <c r="CB12" s="408"/>
      <c r="CC12" s="408"/>
      <c r="CD12" s="408"/>
      <c r="CE12" s="408"/>
      <c r="CF12" s="408"/>
      <c r="CG12" s="408"/>
      <c r="CH12" s="408"/>
      <c r="CI12" s="408"/>
      <c r="CJ12" s="408"/>
      <c r="CK12" s="408"/>
      <c r="CL12" s="408"/>
      <c r="CM12" s="408"/>
      <c r="CN12" s="408"/>
      <c r="CO12" s="408"/>
      <c r="CP12" s="408"/>
      <c r="CQ12" s="408"/>
      <c r="CR12" s="408"/>
      <c r="CS12" s="408"/>
      <c r="CT12" s="408"/>
      <c r="CU12" s="408"/>
      <c r="CV12" s="408"/>
      <c r="CW12" s="408"/>
      <c r="CX12" s="408"/>
      <c r="CY12" s="408"/>
      <c r="CZ12" s="408"/>
      <c r="DA12" s="408"/>
      <c r="DB12" s="408"/>
      <c r="DC12" s="408"/>
      <c r="DD12" s="408"/>
      <c r="DE12" s="408"/>
      <c r="DF12" s="408"/>
      <c r="DG12" s="408"/>
      <c r="DH12" s="408"/>
      <c r="DI12" s="408"/>
      <c r="DJ12" s="408"/>
      <c r="DK12" s="408"/>
      <c r="DL12" s="408"/>
      <c r="DM12" s="408"/>
      <c r="DN12" s="408"/>
      <c r="DO12" s="408"/>
      <c r="DP12" s="408"/>
      <c r="DQ12" s="408"/>
      <c r="DR12" s="408"/>
      <c r="DS12" s="408"/>
      <c r="DT12" s="408"/>
      <c r="DU12" s="408"/>
      <c r="DV12" s="408"/>
      <c r="DW12" s="408"/>
      <c r="DX12" s="408"/>
      <c r="DY12" s="408"/>
      <c r="DZ12" s="408"/>
      <c r="EA12" s="408"/>
      <c r="EB12" s="408"/>
      <c r="EC12" s="408"/>
      <c r="ED12" s="408"/>
      <c r="EE12" s="408"/>
      <c r="EF12" s="408"/>
      <c r="EG12" s="408"/>
      <c r="EH12" s="408"/>
      <c r="EI12" s="408"/>
      <c r="EJ12" s="408"/>
      <c r="EK12" s="408"/>
      <c r="EL12" s="408"/>
      <c r="EM12" s="451"/>
      <c r="EN12" s="408"/>
      <c r="EO12" s="408"/>
      <c r="EP12" s="408"/>
      <c r="FG12" s="409"/>
      <c r="FH12" s="409"/>
      <c r="FI12" s="409"/>
      <c r="FJ12" s="409"/>
      <c r="FK12" s="409"/>
      <c r="FL12" s="409"/>
      <c r="FM12" s="409"/>
    </row>
    <row r="13" spans="1:170" ht="15" hidden="1" customHeight="1">
      <c r="A13" s="410" t="s">
        <v>83</v>
      </c>
      <c r="B13" s="459" t="s">
        <v>1291</v>
      </c>
      <c r="C13" s="407"/>
      <c r="D13" s="407"/>
      <c r="E13" s="407"/>
      <c r="F13" s="407"/>
      <c r="G13" s="407"/>
      <c r="H13" s="407"/>
      <c r="I13" s="407"/>
      <c r="J13" s="407"/>
      <c r="K13" s="407"/>
      <c r="L13" s="407"/>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c r="AL13" s="408"/>
      <c r="AM13" s="408"/>
      <c r="AN13" s="408"/>
      <c r="AO13" s="408"/>
      <c r="AP13" s="408"/>
      <c r="AQ13" s="408"/>
      <c r="AR13" s="408"/>
      <c r="AS13" s="408"/>
      <c r="AT13" s="408"/>
      <c r="AU13" s="408"/>
      <c r="AV13" s="408"/>
      <c r="AW13" s="408"/>
      <c r="AX13" s="408"/>
      <c r="AY13" s="408"/>
      <c r="AZ13" s="408"/>
      <c r="BA13" s="408"/>
      <c r="BB13" s="408"/>
      <c r="BC13" s="408"/>
      <c r="BD13" s="408"/>
      <c r="BE13" s="408"/>
      <c r="BF13" s="408"/>
      <c r="BG13" s="408"/>
      <c r="BH13" s="408"/>
      <c r="BI13" s="408"/>
      <c r="BJ13" s="408"/>
      <c r="BK13" s="408"/>
      <c r="BL13" s="408"/>
      <c r="BM13" s="408"/>
      <c r="BN13" s="408"/>
      <c r="BO13" s="408"/>
      <c r="BP13" s="408"/>
      <c r="BQ13" s="408"/>
      <c r="BR13" s="408"/>
      <c r="BS13" s="408"/>
      <c r="BT13" s="408"/>
      <c r="BU13" s="408"/>
      <c r="BV13" s="408"/>
      <c r="BW13" s="408"/>
      <c r="BX13" s="408"/>
      <c r="BY13" s="408"/>
      <c r="BZ13" s="408"/>
      <c r="CA13" s="408"/>
      <c r="CB13" s="408"/>
      <c r="CC13" s="408"/>
      <c r="CD13" s="408"/>
      <c r="CE13" s="408"/>
      <c r="CF13" s="408"/>
      <c r="CG13" s="408"/>
      <c r="CH13" s="408"/>
      <c r="CI13" s="408"/>
      <c r="CJ13" s="408"/>
      <c r="CK13" s="408"/>
      <c r="CL13" s="408"/>
      <c r="CM13" s="408"/>
      <c r="CN13" s="408"/>
      <c r="CO13" s="408"/>
      <c r="CP13" s="408"/>
      <c r="CQ13" s="408"/>
      <c r="CR13" s="408"/>
      <c r="CS13" s="408"/>
      <c r="CT13" s="408"/>
      <c r="CU13" s="408"/>
      <c r="CV13" s="408"/>
      <c r="CW13" s="408"/>
      <c r="CX13" s="408"/>
      <c r="CY13" s="408"/>
      <c r="CZ13" s="408"/>
      <c r="DA13" s="408"/>
      <c r="DB13" s="408"/>
      <c r="DC13" s="408"/>
      <c r="DD13" s="408"/>
      <c r="DE13" s="408"/>
      <c r="DF13" s="408"/>
      <c r="DG13" s="408"/>
      <c r="DH13" s="408"/>
      <c r="DI13" s="408"/>
      <c r="DJ13" s="408"/>
      <c r="DK13" s="408"/>
      <c r="DL13" s="408"/>
      <c r="DM13" s="408"/>
      <c r="DN13" s="408"/>
      <c r="DO13" s="408"/>
      <c r="DP13" s="408"/>
      <c r="DQ13" s="408"/>
      <c r="DR13" s="408"/>
      <c r="DS13" s="408"/>
      <c r="DT13" s="408"/>
      <c r="DU13" s="408"/>
      <c r="DV13" s="408"/>
      <c r="DW13" s="408"/>
      <c r="DX13" s="408"/>
      <c r="DY13" s="408"/>
      <c r="DZ13" s="408"/>
      <c r="EA13" s="408"/>
      <c r="EB13" s="408"/>
      <c r="EC13" s="408"/>
      <c r="ED13" s="408"/>
      <c r="EE13" s="408"/>
      <c r="EF13" s="408"/>
      <c r="EG13" s="408"/>
      <c r="EH13" s="408"/>
      <c r="EI13" s="408"/>
      <c r="EJ13" s="408"/>
      <c r="EK13" s="408"/>
      <c r="EL13" s="408"/>
      <c r="EM13" s="451"/>
      <c r="EN13" s="408"/>
      <c r="EO13" s="408"/>
      <c r="EP13" s="408"/>
      <c r="FG13" s="409"/>
      <c r="FH13" s="409"/>
      <c r="FI13" s="409"/>
      <c r="FJ13" s="409"/>
      <c r="FK13" s="409"/>
      <c r="FL13" s="409"/>
      <c r="FM13" s="409"/>
    </row>
    <row r="14" spans="1:170" ht="15" hidden="1" customHeight="1">
      <c r="A14" s="410" t="s">
        <v>86</v>
      </c>
      <c r="B14" s="459" t="s">
        <v>1292</v>
      </c>
      <c r="C14" s="407"/>
      <c r="D14" s="407"/>
      <c r="E14" s="407"/>
      <c r="F14" s="407"/>
      <c r="G14" s="407"/>
      <c r="H14" s="407"/>
      <c r="I14" s="407"/>
      <c r="J14" s="407"/>
      <c r="K14" s="407"/>
      <c r="L14" s="407"/>
      <c r="M14" s="408"/>
      <c r="N14" s="408"/>
      <c r="O14" s="408"/>
      <c r="P14" s="408"/>
      <c r="Q14" s="408"/>
      <c r="R14" s="408"/>
      <c r="S14" s="408"/>
      <c r="T14" s="408"/>
      <c r="U14" s="408"/>
      <c r="V14" s="408"/>
      <c r="W14" s="408"/>
      <c r="X14" s="408"/>
      <c r="Y14" s="408"/>
      <c r="Z14" s="408"/>
      <c r="AA14" s="408"/>
      <c r="AB14" s="408"/>
      <c r="AC14" s="408"/>
      <c r="AD14" s="408"/>
      <c r="AE14" s="408"/>
      <c r="AF14" s="408"/>
      <c r="AG14" s="408"/>
      <c r="AH14" s="408"/>
      <c r="AI14" s="408"/>
      <c r="AJ14" s="408"/>
      <c r="AK14" s="408"/>
      <c r="AL14" s="408"/>
      <c r="AM14" s="408"/>
      <c r="AN14" s="408"/>
      <c r="AO14" s="408"/>
      <c r="AP14" s="408"/>
      <c r="AQ14" s="408"/>
      <c r="AR14" s="408"/>
      <c r="AS14" s="408"/>
      <c r="AT14" s="408"/>
      <c r="AU14" s="408"/>
      <c r="AV14" s="408"/>
      <c r="AW14" s="408"/>
      <c r="AX14" s="408"/>
      <c r="AY14" s="408"/>
      <c r="AZ14" s="408"/>
      <c r="BA14" s="408"/>
      <c r="BB14" s="408"/>
      <c r="BC14" s="408"/>
      <c r="BD14" s="408"/>
      <c r="BE14" s="408"/>
      <c r="BF14" s="408"/>
      <c r="BG14" s="408"/>
      <c r="BH14" s="408"/>
      <c r="BI14" s="408"/>
      <c r="BJ14" s="408"/>
      <c r="BK14" s="408"/>
      <c r="BL14" s="408"/>
      <c r="BM14" s="408"/>
      <c r="BN14" s="408"/>
      <c r="BO14" s="408"/>
      <c r="BP14" s="408"/>
      <c r="BQ14" s="408"/>
      <c r="BR14" s="408"/>
      <c r="BS14" s="408"/>
      <c r="BT14" s="408"/>
      <c r="BU14" s="408"/>
      <c r="BV14" s="408"/>
      <c r="BW14" s="408"/>
      <c r="BX14" s="408"/>
      <c r="BY14" s="408"/>
      <c r="BZ14" s="408"/>
      <c r="CA14" s="408"/>
      <c r="CB14" s="408"/>
      <c r="CC14" s="408"/>
      <c r="CD14" s="408"/>
      <c r="CE14" s="408"/>
      <c r="CF14" s="408"/>
      <c r="CG14" s="408"/>
      <c r="CH14" s="408"/>
      <c r="CI14" s="408"/>
      <c r="CJ14" s="408"/>
      <c r="CK14" s="408"/>
      <c r="CL14" s="408"/>
      <c r="CM14" s="408"/>
      <c r="CN14" s="408"/>
      <c r="CO14" s="408"/>
      <c r="CP14" s="408"/>
      <c r="CQ14" s="408"/>
      <c r="CR14" s="408"/>
      <c r="CS14" s="408"/>
      <c r="CT14" s="408"/>
      <c r="CU14" s="408"/>
      <c r="CV14" s="408"/>
      <c r="CW14" s="408"/>
      <c r="CX14" s="408"/>
      <c r="CY14" s="408"/>
      <c r="CZ14" s="408"/>
      <c r="DA14" s="408"/>
      <c r="DB14" s="408"/>
      <c r="DC14" s="408"/>
      <c r="DD14" s="408"/>
      <c r="DE14" s="408"/>
      <c r="DF14" s="408"/>
      <c r="DG14" s="408"/>
      <c r="DH14" s="408"/>
      <c r="DI14" s="408"/>
      <c r="DJ14" s="408"/>
      <c r="DK14" s="408"/>
      <c r="DL14" s="408"/>
      <c r="DM14" s="408"/>
      <c r="DN14" s="408"/>
      <c r="DO14" s="408"/>
      <c r="DP14" s="408"/>
      <c r="DQ14" s="408"/>
      <c r="DR14" s="408"/>
      <c r="DS14" s="408"/>
      <c r="DT14" s="408"/>
      <c r="DU14" s="408"/>
      <c r="DV14" s="408"/>
      <c r="DW14" s="408"/>
      <c r="DX14" s="408"/>
      <c r="DY14" s="408"/>
      <c r="DZ14" s="408"/>
      <c r="EA14" s="408"/>
      <c r="EB14" s="408"/>
      <c r="EC14" s="408"/>
      <c r="ED14" s="408"/>
      <c r="EE14" s="408"/>
      <c r="EF14" s="408"/>
      <c r="EG14" s="408"/>
      <c r="EH14" s="408"/>
      <c r="EI14" s="408"/>
      <c r="EJ14" s="408"/>
      <c r="EK14" s="408"/>
      <c r="EL14" s="408"/>
      <c r="EM14" s="451"/>
      <c r="EN14" s="408"/>
      <c r="EO14" s="408"/>
      <c r="EP14" s="408"/>
      <c r="FG14" s="409"/>
      <c r="FH14" s="409"/>
      <c r="FI14" s="409"/>
      <c r="FJ14" s="409"/>
      <c r="FK14" s="409"/>
      <c r="FL14" s="409"/>
      <c r="FM14" s="409"/>
    </row>
    <row r="15" spans="1:170" ht="15" hidden="1" customHeight="1">
      <c r="A15" s="410" t="s">
        <v>217</v>
      </c>
      <c r="B15" s="459" t="s">
        <v>1293</v>
      </c>
      <c r="C15" s="407"/>
      <c r="D15" s="407"/>
      <c r="E15" s="407"/>
      <c r="F15" s="407"/>
      <c r="G15" s="407"/>
      <c r="H15" s="407"/>
      <c r="I15" s="407"/>
      <c r="J15" s="407"/>
      <c r="K15" s="407"/>
      <c r="L15" s="407"/>
      <c r="M15" s="408"/>
      <c r="N15" s="408"/>
      <c r="O15" s="408"/>
      <c r="P15" s="408"/>
      <c r="Q15" s="408"/>
      <c r="R15" s="408"/>
      <c r="S15" s="408"/>
      <c r="T15" s="408"/>
      <c r="U15" s="408"/>
      <c r="V15" s="408"/>
      <c r="W15" s="408"/>
      <c r="X15" s="408"/>
      <c r="Y15" s="408"/>
      <c r="Z15" s="408"/>
      <c r="AA15" s="408"/>
      <c r="AB15" s="408"/>
      <c r="AC15" s="408"/>
      <c r="AD15" s="408"/>
      <c r="AE15" s="408"/>
      <c r="AF15" s="408"/>
      <c r="AG15" s="408"/>
      <c r="AH15" s="408"/>
      <c r="AI15" s="408"/>
      <c r="AJ15" s="408"/>
      <c r="AK15" s="408"/>
      <c r="AL15" s="408"/>
      <c r="AM15" s="408"/>
      <c r="AN15" s="408"/>
      <c r="AO15" s="408"/>
      <c r="AP15" s="408"/>
      <c r="AQ15" s="408"/>
      <c r="AR15" s="408"/>
      <c r="AS15" s="408"/>
      <c r="AT15" s="408"/>
      <c r="AU15" s="408"/>
      <c r="AV15" s="408"/>
      <c r="AW15" s="408"/>
      <c r="AX15" s="408"/>
      <c r="AY15" s="408"/>
      <c r="AZ15" s="408"/>
      <c r="BA15" s="408"/>
      <c r="BB15" s="408"/>
      <c r="BC15" s="408"/>
      <c r="BD15" s="408"/>
      <c r="BE15" s="408"/>
      <c r="BF15" s="408"/>
      <c r="BG15" s="408"/>
      <c r="BH15" s="408"/>
      <c r="BI15" s="408"/>
      <c r="BJ15" s="408"/>
      <c r="BK15" s="408"/>
      <c r="BL15" s="408"/>
      <c r="BM15" s="408"/>
      <c r="BN15" s="408"/>
      <c r="BO15" s="408"/>
      <c r="BP15" s="408"/>
      <c r="BQ15" s="408"/>
      <c r="BR15" s="408"/>
      <c r="BS15" s="408"/>
      <c r="BT15" s="408"/>
      <c r="BU15" s="408"/>
      <c r="BV15" s="408"/>
      <c r="BW15" s="408"/>
      <c r="BX15" s="408"/>
      <c r="BY15" s="408"/>
      <c r="BZ15" s="408"/>
      <c r="CA15" s="408"/>
      <c r="CB15" s="408"/>
      <c r="CC15" s="408"/>
      <c r="CD15" s="408"/>
      <c r="CE15" s="408"/>
      <c r="CF15" s="408"/>
      <c r="CG15" s="408"/>
      <c r="CH15" s="408"/>
      <c r="CI15" s="408"/>
      <c r="CJ15" s="408"/>
      <c r="CK15" s="408"/>
      <c r="CL15" s="408"/>
      <c r="CM15" s="408"/>
      <c r="CN15" s="408"/>
      <c r="CO15" s="408"/>
      <c r="CP15" s="408"/>
      <c r="CQ15" s="408"/>
      <c r="CR15" s="408"/>
      <c r="CS15" s="408"/>
      <c r="CT15" s="408"/>
      <c r="CU15" s="408"/>
      <c r="CV15" s="408"/>
      <c r="CW15" s="408"/>
      <c r="CX15" s="408"/>
      <c r="CY15" s="408"/>
      <c r="CZ15" s="408"/>
      <c r="DA15" s="408"/>
      <c r="DB15" s="408"/>
      <c r="DC15" s="408"/>
      <c r="DD15" s="408"/>
      <c r="DE15" s="408"/>
      <c r="DF15" s="408"/>
      <c r="DG15" s="408"/>
      <c r="DH15" s="408"/>
      <c r="DI15" s="408"/>
      <c r="DJ15" s="408"/>
      <c r="DK15" s="408"/>
      <c r="DL15" s="408"/>
      <c r="DM15" s="408"/>
      <c r="DN15" s="408"/>
      <c r="DO15" s="408"/>
      <c r="DP15" s="408"/>
      <c r="DQ15" s="408"/>
      <c r="DR15" s="408"/>
      <c r="DS15" s="408"/>
      <c r="DT15" s="408"/>
      <c r="DU15" s="408"/>
      <c r="DV15" s="408"/>
      <c r="DW15" s="408"/>
      <c r="DX15" s="408"/>
      <c r="DY15" s="408"/>
      <c r="DZ15" s="408"/>
      <c r="EA15" s="408"/>
      <c r="EB15" s="408"/>
      <c r="EC15" s="408"/>
      <c r="ED15" s="408"/>
      <c r="EE15" s="408"/>
      <c r="EF15" s="408"/>
      <c r="EG15" s="408"/>
      <c r="EH15" s="408"/>
      <c r="EI15" s="408"/>
      <c r="EJ15" s="408"/>
      <c r="EK15" s="408"/>
      <c r="EL15" s="408"/>
      <c r="EM15" s="451"/>
      <c r="EN15" s="408"/>
      <c r="EO15" s="408"/>
      <c r="EP15" s="408"/>
      <c r="FG15" s="409"/>
      <c r="FH15" s="409"/>
      <c r="FI15" s="409"/>
      <c r="FJ15" s="409"/>
      <c r="FK15" s="409"/>
      <c r="FL15" s="409"/>
      <c r="FM15" s="409"/>
    </row>
    <row r="16" spans="1:170" ht="15" hidden="1" customHeight="1">
      <c r="A16" s="410" t="s">
        <v>218</v>
      </c>
      <c r="B16" s="459" t="s">
        <v>1294</v>
      </c>
      <c r="C16" s="407"/>
      <c r="D16" s="407"/>
      <c r="E16" s="407"/>
      <c r="F16" s="407"/>
      <c r="G16" s="407"/>
      <c r="H16" s="407"/>
      <c r="I16" s="407"/>
      <c r="J16" s="407"/>
      <c r="K16" s="407"/>
      <c r="L16" s="407"/>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8"/>
      <c r="AY16" s="408"/>
      <c r="AZ16" s="408"/>
      <c r="BA16" s="408"/>
      <c r="BB16" s="408"/>
      <c r="BC16" s="408"/>
      <c r="BD16" s="408"/>
      <c r="BE16" s="408"/>
      <c r="BF16" s="408"/>
      <c r="BG16" s="408"/>
      <c r="BH16" s="408"/>
      <c r="BI16" s="408"/>
      <c r="BJ16" s="408"/>
      <c r="BK16" s="408"/>
      <c r="BL16" s="408"/>
      <c r="BM16" s="408"/>
      <c r="BN16" s="408"/>
      <c r="BO16" s="408"/>
      <c r="BP16" s="408"/>
      <c r="BQ16" s="408"/>
      <c r="BR16" s="408"/>
      <c r="BS16" s="408"/>
      <c r="BT16" s="408"/>
      <c r="BU16" s="408"/>
      <c r="BV16" s="408"/>
      <c r="BW16" s="408"/>
      <c r="BX16" s="408"/>
      <c r="BY16" s="408"/>
      <c r="BZ16" s="408"/>
      <c r="CA16" s="408"/>
      <c r="CB16" s="408"/>
      <c r="CC16" s="408"/>
      <c r="CD16" s="408"/>
      <c r="CE16" s="408"/>
      <c r="CF16" s="408"/>
      <c r="CG16" s="408"/>
      <c r="CH16" s="408"/>
      <c r="CI16" s="408"/>
      <c r="CJ16" s="408"/>
      <c r="CK16" s="408"/>
      <c r="CL16" s="408"/>
      <c r="CM16" s="408"/>
      <c r="CN16" s="408"/>
      <c r="CO16" s="408"/>
      <c r="CP16" s="408"/>
      <c r="CQ16" s="408"/>
      <c r="CR16" s="408"/>
      <c r="CS16" s="408"/>
      <c r="CT16" s="408"/>
      <c r="CU16" s="408"/>
      <c r="CV16" s="408"/>
      <c r="CW16" s="408"/>
      <c r="CX16" s="408"/>
      <c r="CY16" s="408"/>
      <c r="CZ16" s="408"/>
      <c r="DA16" s="408"/>
      <c r="DB16" s="408"/>
      <c r="DC16" s="408"/>
      <c r="DD16" s="408"/>
      <c r="DE16" s="408"/>
      <c r="DF16" s="408"/>
      <c r="DG16" s="408"/>
      <c r="DH16" s="408"/>
      <c r="DI16" s="408"/>
      <c r="DJ16" s="408"/>
      <c r="DK16" s="408"/>
      <c r="DL16" s="408"/>
      <c r="DM16" s="408"/>
      <c r="DN16" s="408"/>
      <c r="DO16" s="408"/>
      <c r="DP16" s="408"/>
      <c r="DQ16" s="408"/>
      <c r="DR16" s="408"/>
      <c r="DS16" s="408"/>
      <c r="DT16" s="408"/>
      <c r="DU16" s="408"/>
      <c r="DV16" s="408"/>
      <c r="DW16" s="408"/>
      <c r="DX16" s="408"/>
      <c r="DY16" s="408"/>
      <c r="DZ16" s="408"/>
      <c r="EA16" s="408"/>
      <c r="EB16" s="408"/>
      <c r="EC16" s="408"/>
      <c r="ED16" s="408"/>
      <c r="EE16" s="408"/>
      <c r="EF16" s="408"/>
      <c r="EG16" s="408"/>
      <c r="EH16" s="408"/>
      <c r="EI16" s="408"/>
      <c r="EJ16" s="408"/>
      <c r="EK16" s="408"/>
      <c r="EL16" s="408"/>
      <c r="EM16" s="451"/>
      <c r="EN16" s="408"/>
      <c r="EO16" s="408"/>
      <c r="EP16" s="408"/>
      <c r="FG16" s="409"/>
      <c r="FH16" s="409"/>
      <c r="FI16" s="409"/>
      <c r="FJ16" s="409"/>
      <c r="FK16" s="409"/>
      <c r="FL16" s="409"/>
      <c r="FM16" s="409"/>
    </row>
    <row r="17" spans="1:169" ht="15" hidden="1" customHeight="1">
      <c r="A17" s="410" t="s">
        <v>1297</v>
      </c>
      <c r="B17" s="459" t="s">
        <v>1295</v>
      </c>
      <c r="C17" s="407"/>
      <c r="D17" s="407"/>
      <c r="E17" s="407"/>
      <c r="F17" s="407"/>
      <c r="G17" s="407"/>
      <c r="H17" s="407"/>
      <c r="I17" s="407"/>
      <c r="J17" s="407"/>
      <c r="K17" s="407"/>
      <c r="L17" s="407"/>
      <c r="M17" s="408"/>
      <c r="N17" s="408"/>
      <c r="O17" s="408"/>
      <c r="P17" s="408"/>
      <c r="Q17" s="408"/>
      <c r="R17" s="408"/>
      <c r="S17" s="408"/>
      <c r="T17" s="408"/>
      <c r="U17" s="408"/>
      <c r="V17" s="408"/>
      <c r="W17" s="408"/>
      <c r="X17" s="408"/>
      <c r="Y17" s="408"/>
      <c r="Z17" s="408"/>
      <c r="AA17" s="408"/>
      <c r="AB17" s="408"/>
      <c r="AC17" s="408"/>
      <c r="AD17" s="408"/>
      <c r="AE17" s="408"/>
      <c r="AF17" s="408"/>
      <c r="AG17" s="408"/>
      <c r="AH17" s="408"/>
      <c r="AI17" s="408"/>
      <c r="AJ17" s="408"/>
      <c r="AK17" s="408"/>
      <c r="AL17" s="408"/>
      <c r="AM17" s="408"/>
      <c r="AN17" s="408"/>
      <c r="AO17" s="408"/>
      <c r="AP17" s="408"/>
      <c r="AQ17" s="408"/>
      <c r="AR17" s="408"/>
      <c r="AS17" s="408"/>
      <c r="AT17" s="408"/>
      <c r="AU17" s="408"/>
      <c r="AV17" s="408"/>
      <c r="AW17" s="408"/>
      <c r="AX17" s="408"/>
      <c r="AY17" s="408"/>
      <c r="AZ17" s="408"/>
      <c r="BA17" s="408"/>
      <c r="BB17" s="408"/>
      <c r="BC17" s="408"/>
      <c r="BD17" s="408"/>
      <c r="BE17" s="408"/>
      <c r="BF17" s="408"/>
      <c r="BG17" s="408"/>
      <c r="BH17" s="408"/>
      <c r="BI17" s="408"/>
      <c r="BJ17" s="408"/>
      <c r="BK17" s="408"/>
      <c r="BL17" s="408"/>
      <c r="BM17" s="408"/>
      <c r="BN17" s="408"/>
      <c r="BO17" s="408"/>
      <c r="BP17" s="408"/>
      <c r="BQ17" s="408"/>
      <c r="BR17" s="408"/>
      <c r="BS17" s="408"/>
      <c r="BT17" s="408"/>
      <c r="BU17" s="408"/>
      <c r="BV17" s="408"/>
      <c r="BW17" s="408"/>
      <c r="BX17" s="408"/>
      <c r="BY17" s="408"/>
      <c r="BZ17" s="408"/>
      <c r="CA17" s="408"/>
      <c r="CB17" s="408"/>
      <c r="CC17" s="408"/>
      <c r="CD17" s="408"/>
      <c r="CE17" s="408"/>
      <c r="CF17" s="408"/>
      <c r="CG17" s="408"/>
      <c r="CH17" s="408"/>
      <c r="CI17" s="408"/>
      <c r="CJ17" s="408"/>
      <c r="CK17" s="408"/>
      <c r="CL17" s="408"/>
      <c r="CM17" s="408"/>
      <c r="CN17" s="408"/>
      <c r="CO17" s="408"/>
      <c r="CP17" s="408"/>
      <c r="CQ17" s="408"/>
      <c r="CR17" s="408"/>
      <c r="CS17" s="408"/>
      <c r="CT17" s="408"/>
      <c r="CU17" s="408"/>
      <c r="CV17" s="408"/>
      <c r="CW17" s="408"/>
      <c r="CX17" s="408"/>
      <c r="CY17" s="408"/>
      <c r="CZ17" s="408"/>
      <c r="DA17" s="408"/>
      <c r="DB17" s="408"/>
      <c r="DC17" s="408"/>
      <c r="DD17" s="408"/>
      <c r="DE17" s="408"/>
      <c r="DF17" s="408"/>
      <c r="DG17" s="408"/>
      <c r="DH17" s="408"/>
      <c r="DI17" s="408"/>
      <c r="DJ17" s="408"/>
      <c r="DK17" s="408"/>
      <c r="DL17" s="408"/>
      <c r="DM17" s="408"/>
      <c r="DN17" s="408"/>
      <c r="DO17" s="408"/>
      <c r="DP17" s="408"/>
      <c r="DQ17" s="408"/>
      <c r="DR17" s="408"/>
      <c r="DS17" s="408"/>
      <c r="DT17" s="408"/>
      <c r="DU17" s="408"/>
      <c r="DV17" s="408"/>
      <c r="DW17" s="408"/>
      <c r="DX17" s="408"/>
      <c r="DY17" s="408"/>
      <c r="DZ17" s="408"/>
      <c r="EA17" s="408"/>
      <c r="EB17" s="408"/>
      <c r="EC17" s="408"/>
      <c r="ED17" s="408"/>
      <c r="EE17" s="408"/>
      <c r="EF17" s="408"/>
      <c r="EG17" s="408"/>
      <c r="EH17" s="408"/>
      <c r="EI17" s="408"/>
      <c r="EJ17" s="408"/>
      <c r="EK17" s="408"/>
      <c r="EL17" s="408"/>
      <c r="EM17" s="451"/>
      <c r="EN17" s="408"/>
      <c r="EO17" s="408"/>
      <c r="EP17" s="408"/>
      <c r="FG17" s="409"/>
      <c r="FH17" s="409"/>
      <c r="FI17" s="409"/>
      <c r="FJ17" s="409"/>
      <c r="FK17" s="409"/>
      <c r="FL17" s="409"/>
      <c r="FM17" s="409"/>
    </row>
    <row r="18" spans="1:169" ht="15" hidden="1" customHeight="1">
      <c r="A18" s="410" t="s">
        <v>1298</v>
      </c>
      <c r="B18" s="459" t="s">
        <v>1296</v>
      </c>
      <c r="C18" s="407"/>
      <c r="D18" s="407"/>
      <c r="E18" s="407"/>
      <c r="F18" s="407"/>
      <c r="G18" s="407"/>
      <c r="H18" s="407"/>
      <c r="I18" s="407"/>
      <c r="J18" s="407"/>
      <c r="K18" s="407"/>
      <c r="L18" s="407"/>
      <c r="M18" s="408"/>
      <c r="N18" s="408"/>
      <c r="O18" s="408"/>
      <c r="P18" s="408"/>
      <c r="Q18" s="408"/>
      <c r="R18" s="408"/>
      <c r="S18" s="408"/>
      <c r="T18" s="408"/>
      <c r="U18" s="408"/>
      <c r="V18" s="408"/>
      <c r="W18" s="408"/>
      <c r="X18" s="408"/>
      <c r="Y18" s="408"/>
      <c r="Z18" s="408"/>
      <c r="AA18" s="408"/>
      <c r="AB18" s="408"/>
      <c r="AC18" s="408"/>
      <c r="AD18" s="408"/>
      <c r="AE18" s="408"/>
      <c r="AF18" s="408"/>
      <c r="AG18" s="408"/>
      <c r="AH18" s="408"/>
      <c r="AI18" s="408"/>
      <c r="AJ18" s="408"/>
      <c r="AK18" s="408"/>
      <c r="AL18" s="408"/>
      <c r="AM18" s="408"/>
      <c r="AN18" s="408"/>
      <c r="AO18" s="408"/>
      <c r="AP18" s="408"/>
      <c r="AQ18" s="408"/>
      <c r="AR18" s="408"/>
      <c r="AS18" s="408"/>
      <c r="AT18" s="408"/>
      <c r="AU18" s="408"/>
      <c r="AV18" s="408"/>
      <c r="AW18" s="408"/>
      <c r="AX18" s="408"/>
      <c r="AY18" s="408"/>
      <c r="AZ18" s="408"/>
      <c r="BA18" s="408"/>
      <c r="BB18" s="408"/>
      <c r="BC18" s="408"/>
      <c r="BD18" s="408"/>
      <c r="BE18" s="408"/>
      <c r="BF18" s="408"/>
      <c r="BG18" s="408"/>
      <c r="BH18" s="408"/>
      <c r="BI18" s="408"/>
      <c r="BJ18" s="408"/>
      <c r="BK18" s="408"/>
      <c r="BL18" s="408"/>
      <c r="BM18" s="408"/>
      <c r="BN18" s="408"/>
      <c r="BO18" s="408"/>
      <c r="BP18" s="408"/>
      <c r="BQ18" s="408"/>
      <c r="BR18" s="408"/>
      <c r="BS18" s="408"/>
      <c r="BT18" s="408"/>
      <c r="BU18" s="408"/>
      <c r="BV18" s="408"/>
      <c r="BW18" s="408"/>
      <c r="BX18" s="408"/>
      <c r="BY18" s="408"/>
      <c r="BZ18" s="408"/>
      <c r="CA18" s="408"/>
      <c r="CB18" s="408"/>
      <c r="CC18" s="408"/>
      <c r="CD18" s="408"/>
      <c r="CE18" s="408"/>
      <c r="CF18" s="408"/>
      <c r="CG18" s="408"/>
      <c r="CH18" s="408"/>
      <c r="CI18" s="408"/>
      <c r="CJ18" s="408"/>
      <c r="CK18" s="408"/>
      <c r="CL18" s="408"/>
      <c r="CM18" s="408"/>
      <c r="CN18" s="408"/>
      <c r="CO18" s="408"/>
      <c r="CP18" s="408"/>
      <c r="CQ18" s="408"/>
      <c r="CR18" s="408"/>
      <c r="CS18" s="408"/>
      <c r="CT18" s="408"/>
      <c r="CU18" s="408"/>
      <c r="CV18" s="408"/>
      <c r="CW18" s="408"/>
      <c r="CX18" s="408"/>
      <c r="CY18" s="408"/>
      <c r="CZ18" s="408"/>
      <c r="DA18" s="408"/>
      <c r="DB18" s="408"/>
      <c r="DC18" s="408"/>
      <c r="DD18" s="408"/>
      <c r="DE18" s="408"/>
      <c r="DF18" s="408"/>
      <c r="DG18" s="408"/>
      <c r="DH18" s="408"/>
      <c r="DI18" s="408"/>
      <c r="DJ18" s="408"/>
      <c r="DK18" s="408"/>
      <c r="DL18" s="408"/>
      <c r="DM18" s="408"/>
      <c r="DN18" s="408"/>
      <c r="DO18" s="408"/>
      <c r="DP18" s="408"/>
      <c r="DQ18" s="408"/>
      <c r="DR18" s="408"/>
      <c r="DS18" s="408"/>
      <c r="DT18" s="408"/>
      <c r="DU18" s="408"/>
      <c r="DV18" s="408"/>
      <c r="DW18" s="408"/>
      <c r="DX18" s="408"/>
      <c r="DY18" s="408"/>
      <c r="DZ18" s="408"/>
      <c r="EA18" s="408"/>
      <c r="EB18" s="408"/>
      <c r="EC18" s="408"/>
      <c r="ED18" s="408"/>
      <c r="EE18" s="408"/>
      <c r="EF18" s="408"/>
      <c r="EG18" s="408"/>
      <c r="EH18" s="408"/>
      <c r="EI18" s="408"/>
      <c r="EJ18" s="408"/>
      <c r="EK18" s="408"/>
      <c r="EL18" s="408"/>
      <c r="EM18" s="451"/>
      <c r="EN18" s="408"/>
      <c r="EO18" s="408"/>
      <c r="EP18" s="408"/>
      <c r="FG18" s="409"/>
      <c r="FH18" s="409"/>
      <c r="FI18" s="409"/>
      <c r="FJ18" s="409"/>
      <c r="FK18" s="409"/>
      <c r="FL18" s="409"/>
      <c r="FM18" s="409"/>
    </row>
    <row r="19" spans="1:169" ht="15" hidden="1" customHeight="1">
      <c r="A19" s="410" t="s">
        <v>1299</v>
      </c>
      <c r="B19" s="459"/>
      <c r="C19" s="407"/>
      <c r="D19" s="407"/>
      <c r="E19" s="407"/>
      <c r="F19" s="407"/>
      <c r="G19" s="407"/>
      <c r="H19" s="407"/>
      <c r="I19" s="407"/>
      <c r="J19" s="407"/>
      <c r="K19" s="407"/>
      <c r="L19" s="407"/>
      <c r="M19" s="408"/>
      <c r="N19" s="408"/>
      <c r="O19" s="408"/>
      <c r="P19" s="408"/>
      <c r="Q19" s="408"/>
      <c r="R19" s="408"/>
      <c r="S19" s="408"/>
      <c r="T19" s="408"/>
      <c r="U19" s="408"/>
      <c r="V19" s="408"/>
      <c r="W19" s="408"/>
      <c r="X19" s="408"/>
      <c r="Y19" s="408"/>
      <c r="Z19" s="408"/>
      <c r="AA19" s="408"/>
      <c r="AB19" s="408"/>
      <c r="AC19" s="408"/>
      <c r="AD19" s="408"/>
      <c r="AE19" s="408"/>
      <c r="AF19" s="408"/>
      <c r="AG19" s="408"/>
      <c r="AH19" s="408"/>
      <c r="AI19" s="408"/>
      <c r="AJ19" s="408"/>
      <c r="AK19" s="408"/>
      <c r="AL19" s="408"/>
      <c r="AM19" s="408"/>
      <c r="AN19" s="408"/>
      <c r="AO19" s="408"/>
      <c r="AP19" s="408"/>
      <c r="AQ19" s="408"/>
      <c r="AR19" s="408"/>
      <c r="AS19" s="408"/>
      <c r="AT19" s="408"/>
      <c r="AU19" s="408"/>
      <c r="AV19" s="408"/>
      <c r="AW19" s="408"/>
      <c r="AX19" s="408"/>
      <c r="AY19" s="408"/>
      <c r="AZ19" s="408"/>
      <c r="BA19" s="408"/>
      <c r="BB19" s="408"/>
      <c r="BC19" s="408"/>
      <c r="BD19" s="408"/>
      <c r="BE19" s="408"/>
      <c r="BF19" s="408"/>
      <c r="BG19" s="408"/>
      <c r="BH19" s="408"/>
      <c r="BI19" s="408"/>
      <c r="BJ19" s="408"/>
      <c r="BK19" s="408"/>
      <c r="BL19" s="408"/>
      <c r="BM19" s="408"/>
      <c r="BN19" s="408"/>
      <c r="BO19" s="408"/>
      <c r="BP19" s="408"/>
      <c r="BQ19" s="408"/>
      <c r="BR19" s="408"/>
      <c r="BS19" s="408"/>
      <c r="BT19" s="408"/>
      <c r="BU19" s="408"/>
      <c r="BV19" s="408"/>
      <c r="BW19" s="408"/>
      <c r="BX19" s="408"/>
      <c r="BY19" s="408"/>
      <c r="BZ19" s="408"/>
      <c r="CA19" s="408"/>
      <c r="CB19" s="408"/>
      <c r="CC19" s="408"/>
      <c r="CD19" s="408"/>
      <c r="CE19" s="408"/>
      <c r="CF19" s="408"/>
      <c r="CG19" s="408"/>
      <c r="CH19" s="408"/>
      <c r="CI19" s="408"/>
      <c r="CJ19" s="408"/>
      <c r="CK19" s="408"/>
      <c r="CL19" s="408"/>
      <c r="CM19" s="408"/>
      <c r="CN19" s="408"/>
      <c r="CO19" s="408"/>
      <c r="CP19" s="408"/>
      <c r="CQ19" s="408"/>
      <c r="CR19" s="408"/>
      <c r="CS19" s="408"/>
      <c r="CT19" s="408"/>
      <c r="CU19" s="408"/>
      <c r="CV19" s="408"/>
      <c r="CW19" s="408"/>
      <c r="CX19" s="408"/>
      <c r="CY19" s="408"/>
      <c r="CZ19" s="408"/>
      <c r="DA19" s="408"/>
      <c r="DB19" s="408"/>
      <c r="DC19" s="408"/>
      <c r="DD19" s="408"/>
      <c r="DE19" s="408"/>
      <c r="DF19" s="408"/>
      <c r="DG19" s="408"/>
      <c r="DH19" s="408"/>
      <c r="DI19" s="408"/>
      <c r="DJ19" s="408"/>
      <c r="DK19" s="408"/>
      <c r="DL19" s="408"/>
      <c r="DM19" s="408"/>
      <c r="DN19" s="408"/>
      <c r="DO19" s="408"/>
      <c r="DP19" s="408"/>
      <c r="DQ19" s="408"/>
      <c r="DR19" s="408"/>
      <c r="DS19" s="408"/>
      <c r="DT19" s="408"/>
      <c r="DU19" s="408"/>
      <c r="DV19" s="408"/>
      <c r="DW19" s="408"/>
      <c r="DX19" s="408"/>
      <c r="DY19" s="408"/>
      <c r="DZ19" s="408"/>
      <c r="EA19" s="408"/>
      <c r="EB19" s="408"/>
      <c r="EC19" s="408"/>
      <c r="ED19" s="408"/>
      <c r="EE19" s="408"/>
      <c r="EF19" s="408"/>
      <c r="EG19" s="408"/>
      <c r="EH19" s="408"/>
      <c r="EI19" s="408"/>
      <c r="EJ19" s="408"/>
      <c r="EK19" s="408"/>
      <c r="EL19" s="408"/>
      <c r="EM19" s="451"/>
      <c r="EN19" s="408"/>
      <c r="EO19" s="408"/>
      <c r="EP19" s="408"/>
      <c r="FG19" s="409"/>
      <c r="FH19" s="409"/>
      <c r="FI19" s="409"/>
      <c r="FJ19" s="409"/>
      <c r="FK19" s="409"/>
      <c r="FL19" s="409"/>
      <c r="FM19" s="409"/>
    </row>
    <row r="20" spans="1:169" ht="15" hidden="1" customHeight="1">
      <c r="A20" s="410"/>
      <c r="B20" s="459" t="s">
        <v>672</v>
      </c>
      <c r="C20" s="407"/>
      <c r="D20" s="407"/>
      <c r="E20" s="407"/>
      <c r="F20" s="407"/>
      <c r="G20" s="407"/>
      <c r="H20" s="407"/>
      <c r="I20" s="407"/>
      <c r="J20" s="407"/>
      <c r="K20" s="407"/>
      <c r="L20" s="407"/>
      <c r="M20" s="408"/>
      <c r="N20" s="408"/>
      <c r="O20" s="408"/>
      <c r="P20" s="408"/>
      <c r="Q20" s="408"/>
      <c r="R20" s="408"/>
      <c r="S20" s="408"/>
      <c r="T20" s="408"/>
      <c r="U20" s="408"/>
      <c r="V20" s="408"/>
      <c r="W20" s="408"/>
      <c r="X20" s="408"/>
      <c r="Y20" s="408"/>
      <c r="Z20" s="408"/>
      <c r="AA20" s="408"/>
      <c r="AB20" s="408"/>
      <c r="AC20" s="408"/>
      <c r="AD20" s="408"/>
      <c r="AE20" s="408"/>
      <c r="AF20" s="408"/>
      <c r="AG20" s="408"/>
      <c r="AH20" s="408"/>
      <c r="AI20" s="408"/>
      <c r="AJ20" s="408"/>
      <c r="AK20" s="408"/>
      <c r="AL20" s="408"/>
      <c r="AM20" s="408"/>
      <c r="AN20" s="408"/>
      <c r="AO20" s="408"/>
      <c r="AP20" s="408"/>
      <c r="AQ20" s="408"/>
      <c r="AR20" s="408"/>
      <c r="AS20" s="408"/>
      <c r="AT20" s="408"/>
      <c r="AU20" s="408"/>
      <c r="AV20" s="408"/>
      <c r="AW20" s="408"/>
      <c r="AX20" s="408"/>
      <c r="AY20" s="408"/>
      <c r="AZ20" s="408"/>
      <c r="BA20" s="408"/>
      <c r="BB20" s="408"/>
      <c r="BC20" s="408"/>
      <c r="BD20" s="408"/>
      <c r="BE20" s="408"/>
      <c r="BF20" s="408"/>
      <c r="BG20" s="408"/>
      <c r="BH20" s="408"/>
      <c r="BI20" s="408"/>
      <c r="BJ20" s="408"/>
      <c r="BK20" s="408"/>
      <c r="BL20" s="408"/>
      <c r="BM20" s="408"/>
      <c r="BN20" s="408"/>
      <c r="BO20" s="408"/>
      <c r="BP20" s="408"/>
      <c r="BQ20" s="408"/>
      <c r="BR20" s="408"/>
      <c r="BS20" s="408"/>
      <c r="BT20" s="408"/>
      <c r="BU20" s="408"/>
      <c r="BV20" s="408"/>
      <c r="BW20" s="408"/>
      <c r="BX20" s="408"/>
      <c r="BY20" s="408"/>
      <c r="BZ20" s="408"/>
      <c r="CA20" s="408"/>
      <c r="CB20" s="408"/>
      <c r="CC20" s="408"/>
      <c r="CD20" s="408"/>
      <c r="CE20" s="408"/>
      <c r="CF20" s="408"/>
      <c r="CG20" s="408"/>
      <c r="CH20" s="408"/>
      <c r="CI20" s="408"/>
      <c r="CJ20" s="408"/>
      <c r="CK20" s="408"/>
      <c r="CL20" s="408"/>
      <c r="CM20" s="408"/>
      <c r="CN20" s="408"/>
      <c r="CO20" s="408"/>
      <c r="CP20" s="408"/>
      <c r="CQ20" s="408"/>
      <c r="CR20" s="408"/>
      <c r="CS20" s="408"/>
      <c r="CT20" s="408"/>
      <c r="CU20" s="408"/>
      <c r="CV20" s="408"/>
      <c r="CW20" s="408"/>
      <c r="CX20" s="408"/>
      <c r="CY20" s="408"/>
      <c r="CZ20" s="408"/>
      <c r="DA20" s="408"/>
      <c r="DB20" s="408"/>
      <c r="DC20" s="408"/>
      <c r="DD20" s="408"/>
      <c r="DE20" s="408"/>
      <c r="DF20" s="408"/>
      <c r="DG20" s="408"/>
      <c r="DH20" s="408"/>
      <c r="DI20" s="408"/>
      <c r="DJ20" s="408"/>
      <c r="DK20" s="408"/>
      <c r="DL20" s="408"/>
      <c r="DM20" s="408"/>
      <c r="DN20" s="408"/>
      <c r="DO20" s="408"/>
      <c r="DP20" s="408"/>
      <c r="DQ20" s="408"/>
      <c r="DR20" s="408"/>
      <c r="DS20" s="408"/>
      <c r="DT20" s="408"/>
      <c r="DU20" s="408"/>
      <c r="DV20" s="408"/>
      <c r="DW20" s="408"/>
      <c r="DX20" s="408"/>
      <c r="DY20" s="408"/>
      <c r="DZ20" s="408"/>
      <c r="EA20" s="408"/>
      <c r="EB20" s="408"/>
      <c r="EC20" s="408"/>
      <c r="ED20" s="408"/>
      <c r="EE20" s="408"/>
      <c r="EF20" s="408"/>
      <c r="EG20" s="408"/>
      <c r="EH20" s="408"/>
      <c r="EI20" s="408"/>
      <c r="EJ20" s="408"/>
      <c r="EK20" s="408"/>
      <c r="EL20" s="408"/>
      <c r="EM20" s="451"/>
      <c r="EN20" s="408"/>
      <c r="EO20" s="408"/>
      <c r="EP20" s="408"/>
      <c r="FG20" s="409"/>
      <c r="FH20" s="409"/>
      <c r="FI20" s="409"/>
      <c r="FJ20" s="409"/>
      <c r="FK20" s="409"/>
      <c r="FL20" s="409"/>
      <c r="FM20" s="409"/>
    </row>
    <row r="21" spans="1:169" ht="15" hidden="1" customHeight="1">
      <c r="A21" s="410"/>
      <c r="B21" s="57" t="s">
        <v>153</v>
      </c>
      <c r="C21" s="407"/>
      <c r="D21" s="407"/>
      <c r="E21" s="407"/>
      <c r="F21" s="407"/>
      <c r="G21" s="407"/>
      <c r="H21" s="407"/>
      <c r="I21" s="407"/>
      <c r="J21" s="407"/>
      <c r="K21" s="407"/>
      <c r="L21" s="407"/>
      <c r="M21" s="408"/>
      <c r="N21" s="408"/>
      <c r="O21" s="408"/>
      <c r="P21" s="408"/>
      <c r="Q21" s="408"/>
      <c r="R21" s="408"/>
      <c r="S21" s="408"/>
      <c r="T21" s="408"/>
      <c r="U21" s="408"/>
      <c r="V21" s="408"/>
      <c r="W21" s="408"/>
      <c r="X21" s="408"/>
      <c r="Y21" s="408"/>
      <c r="Z21" s="408"/>
      <c r="AA21" s="408"/>
      <c r="AB21" s="408"/>
      <c r="AC21" s="408"/>
      <c r="AD21" s="408"/>
      <c r="AE21" s="408"/>
      <c r="AF21" s="408"/>
      <c r="AG21" s="408"/>
      <c r="AH21" s="408"/>
      <c r="AI21" s="408"/>
      <c r="AJ21" s="408"/>
      <c r="AK21" s="408"/>
      <c r="AL21" s="408"/>
      <c r="AM21" s="408"/>
      <c r="AN21" s="408"/>
      <c r="AO21" s="408"/>
      <c r="AP21" s="408"/>
      <c r="AQ21" s="408"/>
      <c r="AR21" s="408"/>
      <c r="AS21" s="408"/>
      <c r="AT21" s="408"/>
      <c r="AU21" s="408"/>
      <c r="AV21" s="408"/>
      <c r="AW21" s="408"/>
      <c r="AX21" s="408"/>
      <c r="AY21" s="408"/>
      <c r="AZ21" s="408"/>
      <c r="BA21" s="408"/>
      <c r="BB21" s="408"/>
      <c r="BC21" s="408"/>
      <c r="BD21" s="408"/>
      <c r="BE21" s="408"/>
      <c r="BF21" s="408"/>
      <c r="BG21" s="408"/>
      <c r="BH21" s="408"/>
      <c r="BI21" s="408"/>
      <c r="BJ21" s="408"/>
      <c r="BK21" s="408"/>
      <c r="BL21" s="408"/>
      <c r="BM21" s="408"/>
      <c r="BN21" s="408"/>
      <c r="BO21" s="408"/>
      <c r="BP21" s="408"/>
      <c r="BQ21" s="408"/>
      <c r="BR21" s="408"/>
      <c r="BS21" s="408"/>
      <c r="BT21" s="408"/>
      <c r="BU21" s="408"/>
      <c r="BV21" s="408"/>
      <c r="BW21" s="408"/>
      <c r="BX21" s="408"/>
      <c r="BY21" s="408"/>
      <c r="BZ21" s="408"/>
      <c r="CA21" s="408"/>
      <c r="CB21" s="408"/>
      <c r="CC21" s="408"/>
      <c r="CD21" s="408"/>
      <c r="CE21" s="408"/>
      <c r="CF21" s="408"/>
      <c r="CG21" s="408"/>
      <c r="CH21" s="408"/>
      <c r="CI21" s="408"/>
      <c r="CJ21" s="408"/>
      <c r="CK21" s="408"/>
      <c r="CL21" s="408"/>
      <c r="CM21" s="408"/>
      <c r="CN21" s="408"/>
      <c r="CO21" s="408"/>
      <c r="CP21" s="408"/>
      <c r="CQ21" s="408"/>
      <c r="CR21" s="408"/>
      <c r="CS21" s="408"/>
      <c r="CT21" s="408"/>
      <c r="CU21" s="408"/>
      <c r="CV21" s="408"/>
      <c r="CW21" s="408"/>
      <c r="CX21" s="408"/>
      <c r="CY21" s="408"/>
      <c r="CZ21" s="408"/>
      <c r="DA21" s="408"/>
      <c r="DB21" s="408"/>
      <c r="DC21" s="408"/>
      <c r="DD21" s="408"/>
      <c r="DE21" s="408"/>
      <c r="DF21" s="408"/>
      <c r="DG21" s="408"/>
      <c r="DH21" s="408"/>
      <c r="DI21" s="408"/>
      <c r="DJ21" s="408"/>
      <c r="DK21" s="408"/>
      <c r="DL21" s="408"/>
      <c r="DM21" s="408"/>
      <c r="DN21" s="408"/>
      <c r="DO21" s="408"/>
      <c r="DP21" s="408"/>
      <c r="DQ21" s="408"/>
      <c r="DR21" s="408"/>
      <c r="DS21" s="408"/>
      <c r="DT21" s="408"/>
      <c r="DU21" s="408"/>
      <c r="DV21" s="408"/>
      <c r="DW21" s="408"/>
      <c r="DX21" s="408"/>
      <c r="DY21" s="408"/>
      <c r="DZ21" s="408"/>
      <c r="EA21" s="408"/>
      <c r="EB21" s="408"/>
      <c r="EC21" s="408"/>
      <c r="ED21" s="408"/>
      <c r="EE21" s="408"/>
      <c r="EF21" s="408"/>
      <c r="EG21" s="408"/>
      <c r="EH21" s="408"/>
      <c r="EI21" s="408"/>
      <c r="EJ21" s="408"/>
      <c r="EK21" s="408"/>
      <c r="EL21" s="408"/>
      <c r="EM21" s="451"/>
      <c r="EN21" s="408"/>
      <c r="EO21" s="408"/>
      <c r="EP21" s="408"/>
      <c r="FG21" s="409"/>
      <c r="FH21" s="409"/>
      <c r="FI21" s="409"/>
      <c r="FJ21" s="409"/>
      <c r="FK21" s="409"/>
      <c r="FL21" s="409"/>
      <c r="FM21" s="409"/>
    </row>
    <row r="22" spans="1:169" ht="15" hidden="1" customHeight="1">
      <c r="A22" s="410"/>
      <c r="B22" s="406"/>
      <c r="C22" s="407"/>
      <c r="D22" s="407"/>
      <c r="E22" s="407"/>
      <c r="F22" s="407"/>
      <c r="G22" s="407"/>
      <c r="H22" s="407"/>
      <c r="I22" s="407"/>
      <c r="J22" s="407"/>
      <c r="K22" s="407"/>
      <c r="L22" s="407"/>
      <c r="M22" s="408"/>
      <c r="N22" s="408"/>
      <c r="O22" s="408"/>
      <c r="P22" s="408"/>
      <c r="Q22" s="408"/>
      <c r="R22" s="408"/>
      <c r="S22" s="408"/>
      <c r="T22" s="408"/>
      <c r="U22" s="408"/>
      <c r="V22" s="408"/>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8"/>
      <c r="BE22" s="408"/>
      <c r="BF22" s="408"/>
      <c r="BG22" s="408"/>
      <c r="BH22" s="408"/>
      <c r="BI22" s="408"/>
      <c r="BJ22" s="408"/>
      <c r="BK22" s="408"/>
      <c r="BL22" s="408"/>
      <c r="BM22" s="408"/>
      <c r="BN22" s="408"/>
      <c r="BO22" s="408"/>
      <c r="BP22" s="408"/>
      <c r="BQ22" s="408"/>
      <c r="BR22" s="408"/>
      <c r="BS22" s="408"/>
      <c r="BT22" s="408"/>
      <c r="BU22" s="408"/>
      <c r="BV22" s="408"/>
      <c r="BW22" s="408"/>
      <c r="BX22" s="408"/>
      <c r="BY22" s="408"/>
      <c r="BZ22" s="408"/>
      <c r="CA22" s="408"/>
      <c r="CB22" s="408"/>
      <c r="CC22" s="408"/>
      <c r="CD22" s="408"/>
      <c r="CE22" s="408"/>
      <c r="CF22" s="408"/>
      <c r="CG22" s="408"/>
      <c r="CH22" s="408"/>
      <c r="CI22" s="408"/>
      <c r="CJ22" s="408"/>
      <c r="CK22" s="408"/>
      <c r="CL22" s="408"/>
      <c r="CM22" s="408"/>
      <c r="CN22" s="408"/>
      <c r="CO22" s="408"/>
      <c r="CP22" s="408"/>
      <c r="CQ22" s="408"/>
      <c r="CR22" s="408"/>
      <c r="CS22" s="408"/>
      <c r="CT22" s="408"/>
      <c r="CU22" s="408"/>
      <c r="CV22" s="408"/>
      <c r="CW22" s="408"/>
      <c r="CX22" s="408"/>
      <c r="CY22" s="408"/>
      <c r="CZ22" s="408"/>
      <c r="DA22" s="408"/>
      <c r="DB22" s="408"/>
      <c r="DC22" s="408"/>
      <c r="DD22" s="408"/>
      <c r="DE22" s="408"/>
      <c r="DF22" s="408"/>
      <c r="DG22" s="408"/>
      <c r="DH22" s="408"/>
      <c r="DI22" s="408"/>
      <c r="DJ22" s="408"/>
      <c r="DK22" s="408"/>
      <c r="DL22" s="408"/>
      <c r="DM22" s="408"/>
      <c r="DN22" s="408"/>
      <c r="DO22" s="408"/>
      <c r="DP22" s="408"/>
      <c r="DQ22" s="408"/>
      <c r="DR22" s="408"/>
      <c r="DS22" s="408"/>
      <c r="DT22" s="408"/>
      <c r="DU22" s="408"/>
      <c r="DV22" s="408"/>
      <c r="DW22" s="408"/>
      <c r="DX22" s="408"/>
      <c r="DY22" s="408"/>
      <c r="DZ22" s="408"/>
      <c r="EA22" s="408"/>
      <c r="EB22" s="408"/>
      <c r="EC22" s="408"/>
      <c r="ED22" s="408"/>
      <c r="EE22" s="408"/>
      <c r="EF22" s="408"/>
      <c r="EG22" s="408"/>
      <c r="EH22" s="408"/>
      <c r="EI22" s="408"/>
      <c r="EJ22" s="408"/>
      <c r="EK22" s="408"/>
      <c r="EL22" s="408"/>
      <c r="EM22" s="451"/>
      <c r="EN22" s="408"/>
      <c r="EO22" s="408"/>
      <c r="EP22" s="408"/>
      <c r="FG22" s="409"/>
      <c r="FH22" s="409"/>
      <c r="FI22" s="409"/>
      <c r="FJ22" s="409"/>
      <c r="FK22" s="409"/>
      <c r="FL22" s="409"/>
      <c r="FM22" s="409"/>
    </row>
    <row r="23" spans="1:169" ht="15" customHeight="1">
      <c r="A23" s="410">
        <v>3</v>
      </c>
      <c r="B23" s="181" t="s">
        <v>1301</v>
      </c>
      <c r="C23" s="407"/>
      <c r="D23" s="407"/>
      <c r="E23" s="407"/>
      <c r="F23" s="407"/>
      <c r="G23" s="407"/>
      <c r="H23" s="407"/>
      <c r="I23" s="407"/>
      <c r="J23" s="407"/>
      <c r="K23" s="407"/>
      <c r="L23" s="407"/>
      <c r="M23" s="408"/>
      <c r="N23" s="408"/>
      <c r="O23" s="408"/>
      <c r="P23" s="408"/>
      <c r="Q23" s="408"/>
      <c r="R23" s="408"/>
      <c r="S23" s="408"/>
      <c r="T23" s="408"/>
      <c r="U23" s="408"/>
      <c r="V23" s="408"/>
      <c r="W23" s="408"/>
      <c r="X23" s="408"/>
      <c r="Y23" s="408"/>
      <c r="Z23" s="408"/>
      <c r="AA23" s="408"/>
      <c r="AB23" s="408"/>
      <c r="AC23" s="408"/>
      <c r="AD23" s="408"/>
      <c r="AE23" s="408"/>
      <c r="AF23" s="408"/>
      <c r="AG23" s="408"/>
      <c r="AH23" s="408"/>
      <c r="AI23" s="408"/>
      <c r="AJ23" s="408"/>
      <c r="AK23" s="408"/>
      <c r="AL23" s="408"/>
      <c r="AM23" s="408"/>
      <c r="AN23" s="408"/>
      <c r="AO23" s="408"/>
      <c r="AP23" s="408"/>
      <c r="AQ23" s="408"/>
      <c r="AR23" s="408"/>
      <c r="AS23" s="408"/>
      <c r="AT23" s="408"/>
      <c r="AU23" s="408"/>
      <c r="AV23" s="408"/>
      <c r="AW23" s="408"/>
      <c r="AX23" s="408"/>
      <c r="AY23" s="408"/>
      <c r="AZ23" s="408"/>
      <c r="BA23" s="408"/>
      <c r="BB23" s="408"/>
      <c r="BC23" s="408"/>
      <c r="BD23" s="408"/>
      <c r="BE23" s="408"/>
      <c r="BF23" s="408"/>
      <c r="BG23" s="408"/>
      <c r="BH23" s="408"/>
      <c r="BI23" s="408"/>
      <c r="BJ23" s="408"/>
      <c r="BK23" s="408"/>
      <c r="BL23" s="408"/>
      <c r="BM23" s="408"/>
      <c r="BN23" s="408"/>
      <c r="BO23" s="408"/>
      <c r="BP23" s="408"/>
      <c r="BQ23" s="408"/>
      <c r="BR23" s="408"/>
      <c r="BS23" s="408"/>
      <c r="BT23" s="408"/>
      <c r="BU23" s="408"/>
      <c r="BV23" s="408"/>
      <c r="BW23" s="408"/>
      <c r="BX23" s="408"/>
      <c r="BY23" s="408"/>
      <c r="BZ23" s="408"/>
      <c r="CA23" s="408"/>
      <c r="CB23" s="408"/>
      <c r="CC23" s="408"/>
      <c r="CD23" s="408"/>
      <c r="CE23" s="408"/>
      <c r="CF23" s="408"/>
      <c r="CG23" s="408"/>
      <c r="CH23" s="408"/>
      <c r="CI23" s="408"/>
      <c r="CJ23" s="408"/>
      <c r="CK23" s="408"/>
      <c r="CL23" s="408"/>
      <c r="CM23" s="408"/>
      <c r="CN23" s="408"/>
      <c r="CO23" s="408"/>
      <c r="CP23" s="408"/>
      <c r="CQ23" s="408"/>
      <c r="CR23" s="408"/>
      <c r="CS23" s="408"/>
      <c r="CT23" s="408"/>
      <c r="CU23" s="408"/>
      <c r="CV23" s="408"/>
      <c r="CW23" s="408"/>
      <c r="CX23" s="408"/>
      <c r="CY23" s="408"/>
      <c r="CZ23" s="408"/>
      <c r="DA23" s="408"/>
      <c r="DB23" s="408"/>
      <c r="DC23" s="408"/>
      <c r="DD23" s="408"/>
      <c r="DE23" s="408"/>
      <c r="DF23" s="408"/>
      <c r="DG23" s="408"/>
      <c r="DH23" s="408"/>
      <c r="DI23" s="408"/>
      <c r="DJ23" s="408"/>
      <c r="DK23" s="408"/>
      <c r="DL23" s="408"/>
      <c r="DM23" s="408"/>
      <c r="DN23" s="408"/>
      <c r="DO23" s="408"/>
      <c r="DP23" s="408"/>
      <c r="DQ23" s="408"/>
      <c r="DR23" s="408"/>
      <c r="DS23" s="408"/>
      <c r="DT23" s="408"/>
      <c r="DU23" s="408"/>
      <c r="DV23" s="408"/>
      <c r="DW23" s="408"/>
      <c r="DX23" s="408"/>
      <c r="DY23" s="408"/>
      <c r="DZ23" s="408"/>
      <c r="EA23" s="408"/>
      <c r="EB23" s="408"/>
      <c r="EC23" s="408"/>
      <c r="ED23" s="408"/>
      <c r="EE23" s="408"/>
      <c r="EF23" s="408"/>
      <c r="EG23" s="408"/>
      <c r="EH23" s="408"/>
      <c r="EI23" s="408"/>
      <c r="EJ23" s="408"/>
      <c r="EK23" s="408"/>
      <c r="EL23" s="408"/>
      <c r="EM23" s="451"/>
      <c r="EN23" s="408"/>
      <c r="EO23" s="408"/>
      <c r="EP23" s="408"/>
      <c r="FG23" s="409"/>
      <c r="FH23" s="409"/>
      <c r="FI23" s="409"/>
      <c r="FJ23" s="409"/>
      <c r="FK23" s="409"/>
      <c r="FL23" s="409"/>
      <c r="FM23" s="409"/>
    </row>
    <row r="24" spans="1:169" ht="15" hidden="1" customHeight="1">
      <c r="A24" s="410" t="s">
        <v>82</v>
      </c>
      <c r="B24" s="459" t="s">
        <v>1302</v>
      </c>
      <c r="C24" s="407"/>
      <c r="D24" s="407"/>
      <c r="E24" s="407"/>
      <c r="F24" s="407"/>
      <c r="G24" s="407"/>
      <c r="H24" s="407"/>
      <c r="I24" s="407"/>
      <c r="J24" s="407"/>
      <c r="K24" s="407"/>
      <c r="L24" s="407"/>
      <c r="M24" s="408"/>
      <c r="N24" s="408"/>
      <c r="O24" s="408"/>
      <c r="P24" s="408"/>
      <c r="Q24" s="408"/>
      <c r="R24" s="408"/>
      <c r="S24" s="408"/>
      <c r="T24" s="408"/>
      <c r="U24" s="408"/>
      <c r="V24" s="408"/>
      <c r="W24" s="408"/>
      <c r="X24" s="408"/>
      <c r="Y24" s="408"/>
      <c r="Z24" s="408"/>
      <c r="AA24" s="408"/>
      <c r="AB24" s="408"/>
      <c r="AC24" s="408"/>
      <c r="AD24" s="408"/>
      <c r="AE24" s="408"/>
      <c r="AF24" s="408"/>
      <c r="AG24" s="408"/>
      <c r="AH24" s="408"/>
      <c r="AI24" s="408"/>
      <c r="AJ24" s="408"/>
      <c r="AK24" s="408"/>
      <c r="AL24" s="408"/>
      <c r="AM24" s="408"/>
      <c r="AN24" s="408"/>
      <c r="AO24" s="408"/>
      <c r="AP24" s="408"/>
      <c r="AQ24" s="408"/>
      <c r="AR24" s="408"/>
      <c r="AS24" s="408"/>
      <c r="AT24" s="408"/>
      <c r="AU24" s="408"/>
      <c r="AV24" s="408"/>
      <c r="AW24" s="408"/>
      <c r="AX24" s="408"/>
      <c r="AY24" s="408"/>
      <c r="AZ24" s="408"/>
      <c r="BA24" s="408"/>
      <c r="BB24" s="408"/>
      <c r="BC24" s="408"/>
      <c r="BD24" s="408"/>
      <c r="BE24" s="408"/>
      <c r="BF24" s="408"/>
      <c r="BG24" s="408"/>
      <c r="BH24" s="408"/>
      <c r="BI24" s="408"/>
      <c r="BJ24" s="408"/>
      <c r="BK24" s="408"/>
      <c r="BL24" s="408"/>
      <c r="BM24" s="408"/>
      <c r="BN24" s="408"/>
      <c r="BO24" s="408"/>
      <c r="BP24" s="408"/>
      <c r="BQ24" s="408"/>
      <c r="BR24" s="408"/>
      <c r="BS24" s="408"/>
      <c r="BT24" s="408"/>
      <c r="BU24" s="408"/>
      <c r="BV24" s="408"/>
      <c r="BW24" s="408"/>
      <c r="BX24" s="408"/>
      <c r="BY24" s="408"/>
      <c r="BZ24" s="408"/>
      <c r="CA24" s="408"/>
      <c r="CB24" s="408"/>
      <c r="CC24" s="408"/>
      <c r="CD24" s="408"/>
      <c r="CE24" s="408"/>
      <c r="CF24" s="408"/>
      <c r="CG24" s="408"/>
      <c r="CH24" s="408"/>
      <c r="CI24" s="408"/>
      <c r="CJ24" s="408"/>
      <c r="CK24" s="408"/>
      <c r="CL24" s="408"/>
      <c r="CM24" s="408"/>
      <c r="CN24" s="408"/>
      <c r="CO24" s="408"/>
      <c r="CP24" s="408"/>
      <c r="CQ24" s="408"/>
      <c r="CR24" s="408"/>
      <c r="CS24" s="408"/>
      <c r="CT24" s="408"/>
      <c r="CU24" s="408"/>
      <c r="CV24" s="408"/>
      <c r="CW24" s="408"/>
      <c r="CX24" s="408"/>
      <c r="CY24" s="408"/>
      <c r="CZ24" s="408"/>
      <c r="DA24" s="408"/>
      <c r="DB24" s="408"/>
      <c r="DC24" s="408"/>
      <c r="DD24" s="408"/>
      <c r="DE24" s="408"/>
      <c r="DF24" s="408"/>
      <c r="DG24" s="408"/>
      <c r="DH24" s="408"/>
      <c r="DI24" s="408"/>
      <c r="DJ24" s="408"/>
      <c r="DK24" s="408"/>
      <c r="DL24" s="408"/>
      <c r="DM24" s="408"/>
      <c r="DN24" s="408"/>
      <c r="DO24" s="408"/>
      <c r="DP24" s="408"/>
      <c r="DQ24" s="408"/>
      <c r="DR24" s="408"/>
      <c r="DS24" s="408"/>
      <c r="DT24" s="408"/>
      <c r="DU24" s="408"/>
      <c r="DV24" s="408"/>
      <c r="DW24" s="408"/>
      <c r="DX24" s="408"/>
      <c r="DY24" s="408"/>
      <c r="DZ24" s="408"/>
      <c r="EA24" s="408"/>
      <c r="EB24" s="408"/>
      <c r="EC24" s="408"/>
      <c r="ED24" s="408"/>
      <c r="EE24" s="408"/>
      <c r="EF24" s="408"/>
      <c r="EG24" s="408"/>
      <c r="EH24" s="408"/>
      <c r="EI24" s="408"/>
      <c r="EJ24" s="408"/>
      <c r="EK24" s="408"/>
      <c r="EL24" s="408"/>
      <c r="EM24" s="451"/>
      <c r="EN24" s="408"/>
      <c r="EO24" s="408"/>
      <c r="EP24" s="408"/>
      <c r="FG24" s="409"/>
      <c r="FH24" s="409"/>
      <c r="FI24" s="409"/>
      <c r="FJ24" s="409"/>
      <c r="FK24" s="409"/>
      <c r="FL24" s="409"/>
      <c r="FM24" s="409"/>
    </row>
    <row r="25" spans="1:169" ht="15" hidden="1" customHeight="1">
      <c r="A25" s="410" t="s">
        <v>83</v>
      </c>
      <c r="B25" s="459" t="s">
        <v>1303</v>
      </c>
      <c r="C25" s="407"/>
      <c r="D25" s="407"/>
      <c r="E25" s="407"/>
      <c r="F25" s="407"/>
      <c r="G25" s="407"/>
      <c r="H25" s="407"/>
      <c r="I25" s="407"/>
      <c r="J25" s="407"/>
      <c r="K25" s="407"/>
      <c r="L25" s="407"/>
      <c r="M25" s="408"/>
      <c r="N25" s="408"/>
      <c r="O25" s="408"/>
      <c r="P25" s="408"/>
      <c r="Q25" s="408"/>
      <c r="R25" s="408"/>
      <c r="S25" s="408"/>
      <c r="T25" s="408"/>
      <c r="U25" s="408"/>
      <c r="V25" s="408"/>
      <c r="W25" s="408"/>
      <c r="X25" s="408"/>
      <c r="Y25" s="408"/>
      <c r="Z25" s="408"/>
      <c r="AA25" s="408"/>
      <c r="AB25" s="408"/>
      <c r="AC25" s="408"/>
      <c r="AD25" s="408"/>
      <c r="AE25" s="408"/>
      <c r="AF25" s="408"/>
      <c r="AG25" s="408"/>
      <c r="AH25" s="408"/>
      <c r="AI25" s="408"/>
      <c r="AJ25" s="408"/>
      <c r="AK25" s="408"/>
      <c r="AL25" s="408"/>
      <c r="AM25" s="408"/>
      <c r="AN25" s="408"/>
      <c r="AO25" s="408"/>
      <c r="AP25" s="408"/>
      <c r="AQ25" s="408"/>
      <c r="AR25" s="408"/>
      <c r="AS25" s="408"/>
      <c r="AT25" s="408"/>
      <c r="AU25" s="408"/>
      <c r="AV25" s="408"/>
      <c r="AW25" s="408"/>
      <c r="AX25" s="408"/>
      <c r="AY25" s="408"/>
      <c r="AZ25" s="408"/>
      <c r="BA25" s="408"/>
      <c r="BB25" s="408"/>
      <c r="BC25" s="408"/>
      <c r="BD25" s="408"/>
      <c r="BE25" s="408"/>
      <c r="BF25" s="408"/>
      <c r="BG25" s="408"/>
      <c r="BH25" s="408"/>
      <c r="BI25" s="408"/>
      <c r="BJ25" s="408"/>
      <c r="BK25" s="408"/>
      <c r="BL25" s="408"/>
      <c r="BM25" s="408"/>
      <c r="BN25" s="408"/>
      <c r="BO25" s="408"/>
      <c r="BP25" s="408"/>
      <c r="BQ25" s="408"/>
      <c r="BR25" s="408"/>
      <c r="BS25" s="408"/>
      <c r="BT25" s="408"/>
      <c r="BU25" s="408"/>
      <c r="BV25" s="408"/>
      <c r="BW25" s="408"/>
      <c r="BX25" s="408"/>
      <c r="BY25" s="408"/>
      <c r="BZ25" s="408"/>
      <c r="CA25" s="408"/>
      <c r="CB25" s="408"/>
      <c r="CC25" s="408"/>
      <c r="CD25" s="408"/>
      <c r="CE25" s="408"/>
      <c r="CF25" s="408"/>
      <c r="CG25" s="408"/>
      <c r="CH25" s="408"/>
      <c r="CI25" s="408"/>
      <c r="CJ25" s="408"/>
      <c r="CK25" s="408"/>
      <c r="CL25" s="408"/>
      <c r="CM25" s="408"/>
      <c r="CN25" s="408"/>
      <c r="CO25" s="408"/>
      <c r="CP25" s="408"/>
      <c r="CQ25" s="408"/>
      <c r="CR25" s="408"/>
      <c r="CS25" s="408"/>
      <c r="CT25" s="408"/>
      <c r="CU25" s="408"/>
      <c r="CV25" s="408"/>
      <c r="CW25" s="408"/>
      <c r="CX25" s="408"/>
      <c r="CY25" s="408"/>
      <c r="CZ25" s="408"/>
      <c r="DA25" s="408"/>
      <c r="DB25" s="408"/>
      <c r="DC25" s="408"/>
      <c r="DD25" s="408"/>
      <c r="DE25" s="408"/>
      <c r="DF25" s="408"/>
      <c r="DG25" s="408"/>
      <c r="DH25" s="408"/>
      <c r="DI25" s="408"/>
      <c r="DJ25" s="408"/>
      <c r="DK25" s="408"/>
      <c r="DL25" s="408"/>
      <c r="DM25" s="408"/>
      <c r="DN25" s="408"/>
      <c r="DO25" s="408"/>
      <c r="DP25" s="408"/>
      <c r="DQ25" s="408"/>
      <c r="DR25" s="408"/>
      <c r="DS25" s="408"/>
      <c r="DT25" s="408"/>
      <c r="DU25" s="408"/>
      <c r="DV25" s="408"/>
      <c r="DW25" s="408"/>
      <c r="DX25" s="408"/>
      <c r="DY25" s="408"/>
      <c r="DZ25" s="408"/>
      <c r="EA25" s="408"/>
      <c r="EB25" s="408"/>
      <c r="EC25" s="408"/>
      <c r="ED25" s="408"/>
      <c r="EE25" s="408"/>
      <c r="EF25" s="408"/>
      <c r="EG25" s="408"/>
      <c r="EH25" s="408"/>
      <c r="EI25" s="408"/>
      <c r="EJ25" s="408"/>
      <c r="EK25" s="408"/>
      <c r="EL25" s="408"/>
      <c r="EM25" s="451"/>
      <c r="EN25" s="408"/>
      <c r="EO25" s="408"/>
      <c r="EP25" s="408"/>
      <c r="FG25" s="409"/>
      <c r="FH25" s="409"/>
      <c r="FI25" s="409"/>
      <c r="FJ25" s="409"/>
      <c r="FK25" s="409"/>
      <c r="FL25" s="409"/>
      <c r="FM25" s="409"/>
    </row>
    <row r="26" spans="1:169" ht="15" hidden="1" customHeight="1">
      <c r="A26" s="410" t="s">
        <v>86</v>
      </c>
      <c r="B26" s="459" t="s">
        <v>1304</v>
      </c>
      <c r="C26" s="407"/>
      <c r="D26" s="407"/>
      <c r="E26" s="407"/>
      <c r="F26" s="407"/>
      <c r="G26" s="407"/>
      <c r="H26" s="407"/>
      <c r="I26" s="407"/>
      <c r="J26" s="407"/>
      <c r="K26" s="407"/>
      <c r="L26" s="407"/>
      <c r="M26" s="408"/>
      <c r="N26" s="408"/>
      <c r="O26" s="408"/>
      <c r="P26" s="408"/>
      <c r="Q26" s="408"/>
      <c r="R26" s="408"/>
      <c r="S26" s="408"/>
      <c r="T26" s="408"/>
      <c r="U26" s="408"/>
      <c r="V26" s="408"/>
      <c r="W26" s="408"/>
      <c r="X26" s="408"/>
      <c r="Y26" s="408"/>
      <c r="Z26" s="408"/>
      <c r="AA26" s="408"/>
      <c r="AB26" s="408"/>
      <c r="AC26" s="408"/>
      <c r="AD26" s="408"/>
      <c r="AE26" s="408"/>
      <c r="AF26" s="408"/>
      <c r="AG26" s="408"/>
      <c r="AH26" s="408"/>
      <c r="AI26" s="408"/>
      <c r="AJ26" s="408"/>
      <c r="AK26" s="408"/>
      <c r="AL26" s="408"/>
      <c r="AM26" s="408"/>
      <c r="AN26" s="408"/>
      <c r="AO26" s="408"/>
      <c r="AP26" s="408"/>
      <c r="AQ26" s="408"/>
      <c r="AR26" s="408"/>
      <c r="AS26" s="408"/>
      <c r="AT26" s="408"/>
      <c r="AU26" s="408"/>
      <c r="AV26" s="408"/>
      <c r="AW26" s="408"/>
      <c r="AX26" s="408"/>
      <c r="AY26" s="408"/>
      <c r="AZ26" s="408"/>
      <c r="BA26" s="408"/>
      <c r="BB26" s="408"/>
      <c r="BC26" s="408"/>
      <c r="BD26" s="408"/>
      <c r="BE26" s="408"/>
      <c r="BF26" s="408"/>
      <c r="BG26" s="408"/>
      <c r="BH26" s="408"/>
      <c r="BI26" s="408"/>
      <c r="BJ26" s="408"/>
      <c r="BK26" s="408"/>
      <c r="BL26" s="408"/>
      <c r="BM26" s="408"/>
      <c r="BN26" s="408"/>
      <c r="BO26" s="408"/>
      <c r="BP26" s="408"/>
      <c r="BQ26" s="408"/>
      <c r="BR26" s="408"/>
      <c r="BS26" s="408"/>
      <c r="BT26" s="408"/>
      <c r="BU26" s="408"/>
      <c r="BV26" s="408"/>
      <c r="BW26" s="408"/>
      <c r="BX26" s="408"/>
      <c r="BY26" s="408"/>
      <c r="BZ26" s="408"/>
      <c r="CA26" s="408"/>
      <c r="CB26" s="408"/>
      <c r="CC26" s="408"/>
      <c r="CD26" s="408"/>
      <c r="CE26" s="408"/>
      <c r="CF26" s="408"/>
      <c r="CG26" s="408"/>
      <c r="CH26" s="408"/>
      <c r="CI26" s="408"/>
      <c r="CJ26" s="408"/>
      <c r="CK26" s="408"/>
      <c r="CL26" s="408"/>
      <c r="CM26" s="408"/>
      <c r="CN26" s="408"/>
      <c r="CO26" s="408"/>
      <c r="CP26" s="408"/>
      <c r="CQ26" s="408"/>
      <c r="CR26" s="408"/>
      <c r="CS26" s="408"/>
      <c r="CT26" s="408"/>
      <c r="CU26" s="408"/>
      <c r="CV26" s="408"/>
      <c r="CW26" s="408"/>
      <c r="CX26" s="408"/>
      <c r="CY26" s="408"/>
      <c r="CZ26" s="408"/>
      <c r="DA26" s="408"/>
      <c r="DB26" s="408"/>
      <c r="DC26" s="408"/>
      <c r="DD26" s="408"/>
      <c r="DE26" s="408"/>
      <c r="DF26" s="408"/>
      <c r="DG26" s="408"/>
      <c r="DH26" s="408"/>
      <c r="DI26" s="408"/>
      <c r="DJ26" s="408"/>
      <c r="DK26" s="408"/>
      <c r="DL26" s="408"/>
      <c r="DM26" s="408"/>
      <c r="DN26" s="408"/>
      <c r="DO26" s="408"/>
      <c r="DP26" s="408"/>
      <c r="DQ26" s="408"/>
      <c r="DR26" s="408"/>
      <c r="DS26" s="408"/>
      <c r="DT26" s="408"/>
      <c r="DU26" s="408"/>
      <c r="DV26" s="408"/>
      <c r="DW26" s="408"/>
      <c r="DX26" s="408"/>
      <c r="DY26" s="408"/>
      <c r="DZ26" s="408"/>
      <c r="EA26" s="408"/>
      <c r="EB26" s="408"/>
      <c r="EC26" s="408"/>
      <c r="ED26" s="408"/>
      <c r="EE26" s="408"/>
      <c r="EF26" s="408"/>
      <c r="EG26" s="408"/>
      <c r="EH26" s="408"/>
      <c r="EI26" s="408"/>
      <c r="EJ26" s="408"/>
      <c r="EK26" s="408"/>
      <c r="EL26" s="408"/>
      <c r="EM26" s="451"/>
      <c r="EN26" s="408"/>
      <c r="EO26" s="408"/>
      <c r="EP26" s="408"/>
      <c r="FG26" s="409"/>
      <c r="FH26" s="409"/>
      <c r="FI26" s="409"/>
      <c r="FJ26" s="409"/>
      <c r="FK26" s="409"/>
      <c r="FL26" s="409"/>
      <c r="FM26" s="409"/>
    </row>
    <row r="27" spans="1:169" ht="15" hidden="1" customHeight="1">
      <c r="A27" s="410" t="s">
        <v>217</v>
      </c>
      <c r="B27" s="459" t="s">
        <v>1305</v>
      </c>
      <c r="C27" s="407"/>
      <c r="D27" s="407"/>
      <c r="E27" s="407"/>
      <c r="F27" s="407"/>
      <c r="G27" s="407"/>
      <c r="H27" s="407"/>
      <c r="I27" s="407"/>
      <c r="J27" s="407"/>
      <c r="K27" s="407"/>
      <c r="L27" s="407"/>
      <c r="M27" s="408"/>
      <c r="N27" s="408"/>
      <c r="O27" s="408"/>
      <c r="P27" s="408"/>
      <c r="Q27" s="408"/>
      <c r="R27" s="408"/>
      <c r="S27" s="408"/>
      <c r="T27" s="408"/>
      <c r="U27" s="408"/>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c r="BB27" s="408"/>
      <c r="BC27" s="408"/>
      <c r="BD27" s="408"/>
      <c r="BE27" s="408"/>
      <c r="BF27" s="408"/>
      <c r="BG27" s="408"/>
      <c r="BH27" s="408"/>
      <c r="BI27" s="408"/>
      <c r="BJ27" s="408"/>
      <c r="BK27" s="408"/>
      <c r="BL27" s="408"/>
      <c r="BM27" s="408"/>
      <c r="BN27" s="408"/>
      <c r="BO27" s="408"/>
      <c r="BP27" s="408"/>
      <c r="BQ27" s="408"/>
      <c r="BR27" s="408"/>
      <c r="BS27" s="408"/>
      <c r="BT27" s="408"/>
      <c r="BU27" s="408"/>
      <c r="BV27" s="408"/>
      <c r="BW27" s="408"/>
      <c r="BX27" s="408"/>
      <c r="BY27" s="408"/>
      <c r="BZ27" s="408"/>
      <c r="CA27" s="408"/>
      <c r="CB27" s="408"/>
      <c r="CC27" s="408"/>
      <c r="CD27" s="408"/>
      <c r="CE27" s="408"/>
      <c r="CF27" s="408"/>
      <c r="CG27" s="408"/>
      <c r="CH27" s="408"/>
      <c r="CI27" s="408"/>
      <c r="CJ27" s="408"/>
      <c r="CK27" s="408"/>
      <c r="CL27" s="408"/>
      <c r="CM27" s="408"/>
      <c r="CN27" s="408"/>
      <c r="CO27" s="408"/>
      <c r="CP27" s="408"/>
      <c r="CQ27" s="408"/>
      <c r="CR27" s="408"/>
      <c r="CS27" s="408"/>
      <c r="CT27" s="408"/>
      <c r="CU27" s="408"/>
      <c r="CV27" s="408"/>
      <c r="CW27" s="408"/>
      <c r="CX27" s="408"/>
      <c r="CY27" s="408"/>
      <c r="CZ27" s="408"/>
      <c r="DA27" s="408"/>
      <c r="DB27" s="408"/>
      <c r="DC27" s="408"/>
      <c r="DD27" s="408"/>
      <c r="DE27" s="408"/>
      <c r="DF27" s="408"/>
      <c r="DG27" s="408"/>
      <c r="DH27" s="408"/>
      <c r="DI27" s="408"/>
      <c r="DJ27" s="408"/>
      <c r="DK27" s="408"/>
      <c r="DL27" s="408"/>
      <c r="DM27" s="408"/>
      <c r="DN27" s="408"/>
      <c r="DO27" s="408"/>
      <c r="DP27" s="408"/>
      <c r="DQ27" s="408"/>
      <c r="DR27" s="408"/>
      <c r="DS27" s="408"/>
      <c r="DT27" s="408"/>
      <c r="DU27" s="408"/>
      <c r="DV27" s="408"/>
      <c r="DW27" s="408"/>
      <c r="DX27" s="408"/>
      <c r="DY27" s="408"/>
      <c r="DZ27" s="408"/>
      <c r="EA27" s="408"/>
      <c r="EB27" s="408"/>
      <c r="EC27" s="408"/>
      <c r="ED27" s="408"/>
      <c r="EE27" s="408"/>
      <c r="EF27" s="408"/>
      <c r="EG27" s="408"/>
      <c r="EH27" s="408"/>
      <c r="EI27" s="408"/>
      <c r="EJ27" s="408"/>
      <c r="EK27" s="408"/>
      <c r="EL27" s="408"/>
      <c r="EM27" s="451"/>
      <c r="EN27" s="408"/>
      <c r="EO27" s="408"/>
      <c r="EP27" s="408"/>
      <c r="FG27" s="409"/>
      <c r="FH27" s="409"/>
      <c r="FI27" s="409"/>
      <c r="FJ27" s="409"/>
      <c r="FK27" s="409"/>
      <c r="FL27" s="409"/>
      <c r="FM27" s="409"/>
    </row>
    <row r="28" spans="1:169" hidden="1">
      <c r="A28" s="410" t="s">
        <v>218</v>
      </c>
      <c r="B28" s="459" t="s">
        <v>1306</v>
      </c>
      <c r="C28" s="412"/>
      <c r="D28" s="412"/>
      <c r="E28" s="412"/>
      <c r="F28" s="412"/>
      <c r="G28" s="412"/>
      <c r="H28" s="412"/>
      <c r="I28" s="412"/>
      <c r="J28" s="412"/>
      <c r="K28" s="412"/>
      <c r="L28" s="412"/>
      <c r="M28" s="413"/>
      <c r="N28" s="414"/>
      <c r="O28" s="413"/>
      <c r="P28" s="414"/>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3"/>
      <c r="AN28" s="413"/>
      <c r="AO28" s="414"/>
      <c r="AP28" s="413"/>
      <c r="AQ28" s="413"/>
      <c r="AR28" s="414"/>
      <c r="AS28" s="413"/>
      <c r="AT28" s="413"/>
      <c r="AU28" s="413"/>
      <c r="AV28" s="413"/>
      <c r="AW28" s="413"/>
      <c r="AX28" s="413"/>
      <c r="AY28" s="414"/>
      <c r="AZ28" s="413"/>
      <c r="BA28" s="413"/>
      <c r="BB28" s="414"/>
      <c r="BC28" s="413"/>
      <c r="BD28" s="413"/>
      <c r="BE28" s="413"/>
      <c r="BF28" s="413"/>
      <c r="BG28" s="413"/>
      <c r="BH28" s="413"/>
      <c r="BI28" s="414"/>
      <c r="BJ28" s="413"/>
      <c r="BK28" s="413"/>
      <c r="BL28" s="414"/>
      <c r="BM28" s="413"/>
      <c r="BN28" s="413"/>
      <c r="BO28" s="413"/>
      <c r="BP28" s="413"/>
      <c r="BQ28" s="413"/>
      <c r="BR28" s="413"/>
      <c r="BS28" s="413"/>
      <c r="BT28" s="413"/>
      <c r="BU28" s="413"/>
      <c r="BV28" s="413"/>
      <c r="BW28" s="413"/>
      <c r="BX28" s="413"/>
      <c r="BY28" s="413"/>
      <c r="BZ28" s="413"/>
      <c r="CA28" s="413"/>
      <c r="CB28" s="413"/>
      <c r="CC28" s="413"/>
      <c r="CD28" s="413"/>
      <c r="CE28" s="413"/>
      <c r="CF28" s="414"/>
      <c r="CG28" s="413"/>
      <c r="CH28" s="413"/>
      <c r="CI28" s="413"/>
      <c r="CJ28" s="413"/>
      <c r="CK28" s="413"/>
      <c r="CL28" s="413"/>
      <c r="CM28" s="414"/>
      <c r="CN28" s="413"/>
      <c r="CO28" s="413"/>
      <c r="CP28" s="414"/>
      <c r="CQ28" s="413"/>
      <c r="CR28" s="413"/>
      <c r="CS28" s="413"/>
      <c r="CT28" s="413"/>
      <c r="CU28" s="413"/>
      <c r="CV28" s="413"/>
      <c r="CW28" s="414"/>
      <c r="CX28" s="413"/>
      <c r="CY28" s="413"/>
      <c r="CZ28" s="414"/>
      <c r="DA28" s="413"/>
      <c r="DB28" s="414"/>
      <c r="DC28" s="413"/>
      <c r="DD28" s="413"/>
      <c r="DE28" s="413"/>
      <c r="DF28" s="413"/>
      <c r="DG28" s="414"/>
      <c r="DH28" s="413"/>
      <c r="DI28" s="413"/>
      <c r="DJ28" s="414"/>
      <c r="DK28" s="413"/>
      <c r="DL28" s="413"/>
      <c r="DM28" s="413"/>
      <c r="DN28" s="413"/>
      <c r="DO28" s="413"/>
      <c r="DP28" s="413"/>
      <c r="DQ28" s="414"/>
      <c r="DR28" s="413"/>
      <c r="DS28" s="413"/>
      <c r="DT28" s="413"/>
      <c r="DU28" s="413"/>
      <c r="DV28" s="413"/>
      <c r="DW28" s="413"/>
      <c r="DX28" s="413"/>
      <c r="DY28" s="413"/>
      <c r="DZ28" s="413"/>
      <c r="EA28" s="413"/>
      <c r="EB28" s="413"/>
      <c r="EC28" s="413"/>
      <c r="ED28" s="413"/>
      <c r="EE28" s="413"/>
      <c r="EF28" s="413"/>
      <c r="EG28" s="413"/>
      <c r="EH28" s="413"/>
      <c r="EI28" s="413"/>
      <c r="EJ28" s="413"/>
      <c r="EK28" s="413"/>
      <c r="EL28" s="413"/>
      <c r="EM28" s="452"/>
      <c r="EN28" s="413"/>
      <c r="EO28" s="453"/>
      <c r="EP28" s="413"/>
      <c r="EQ28" s="434"/>
      <c r="ER28" s="434"/>
      <c r="ES28" s="434"/>
      <c r="ET28" s="434"/>
      <c r="EU28" s="434"/>
      <c r="EV28" s="434"/>
      <c r="EW28" s="434"/>
      <c r="EX28" s="434"/>
      <c r="EY28" s="434"/>
      <c r="EZ28" s="434"/>
      <c r="FA28" s="434"/>
      <c r="FB28" s="434"/>
      <c r="FC28" s="434"/>
      <c r="FD28" s="434"/>
      <c r="FE28" s="434"/>
      <c r="FF28" s="399"/>
      <c r="FG28" s="415"/>
      <c r="FH28" s="415"/>
      <c r="FI28" s="415"/>
      <c r="FJ28" s="415"/>
      <c r="FK28" s="415"/>
      <c r="FL28" s="415"/>
      <c r="FM28" s="415"/>
    </row>
    <row r="29" spans="1:169" hidden="1">
      <c r="A29" s="410" t="s">
        <v>1297</v>
      </c>
      <c r="B29" s="459"/>
      <c r="C29" s="412"/>
      <c r="D29" s="412"/>
      <c r="E29" s="412"/>
      <c r="F29" s="412"/>
      <c r="G29" s="412"/>
      <c r="H29" s="412"/>
      <c r="I29" s="412"/>
      <c r="J29" s="412"/>
      <c r="K29" s="412"/>
      <c r="L29" s="412"/>
      <c r="M29" s="413"/>
      <c r="N29" s="414"/>
      <c r="O29" s="413"/>
      <c r="P29" s="414"/>
      <c r="Q29" s="413"/>
      <c r="R29" s="413"/>
      <c r="S29" s="413"/>
      <c r="T29" s="413"/>
      <c r="U29" s="413"/>
      <c r="V29" s="413"/>
      <c r="W29" s="413"/>
      <c r="X29" s="413"/>
      <c r="Y29" s="413"/>
      <c r="Z29" s="413"/>
      <c r="AA29" s="413"/>
      <c r="AB29" s="413"/>
      <c r="AC29" s="413"/>
      <c r="AD29" s="413"/>
      <c r="AE29" s="413"/>
      <c r="AF29" s="413"/>
      <c r="AG29" s="413"/>
      <c r="AH29" s="413"/>
      <c r="AI29" s="413"/>
      <c r="AJ29" s="413"/>
      <c r="AK29" s="413"/>
      <c r="AL29" s="413"/>
      <c r="AM29" s="413"/>
      <c r="AN29" s="413"/>
      <c r="AO29" s="414"/>
      <c r="AP29" s="413"/>
      <c r="AQ29" s="413"/>
      <c r="AR29" s="414"/>
      <c r="AS29" s="413"/>
      <c r="AT29" s="413"/>
      <c r="AU29" s="413"/>
      <c r="AV29" s="413"/>
      <c r="AW29" s="413"/>
      <c r="AX29" s="413"/>
      <c r="AY29" s="414"/>
      <c r="AZ29" s="413"/>
      <c r="BA29" s="413"/>
      <c r="BB29" s="414"/>
      <c r="BC29" s="413"/>
      <c r="BD29" s="413"/>
      <c r="BE29" s="413"/>
      <c r="BF29" s="413"/>
      <c r="BG29" s="413"/>
      <c r="BH29" s="413"/>
      <c r="BI29" s="414"/>
      <c r="BJ29" s="413"/>
      <c r="BK29" s="413"/>
      <c r="BL29" s="414"/>
      <c r="BM29" s="413"/>
      <c r="BN29" s="413"/>
      <c r="BO29" s="413"/>
      <c r="BP29" s="413"/>
      <c r="BQ29" s="413"/>
      <c r="BR29" s="413"/>
      <c r="BS29" s="413"/>
      <c r="BT29" s="413"/>
      <c r="BU29" s="413"/>
      <c r="BV29" s="413"/>
      <c r="BW29" s="413"/>
      <c r="BX29" s="413"/>
      <c r="BY29" s="413"/>
      <c r="BZ29" s="413"/>
      <c r="CA29" s="413"/>
      <c r="CB29" s="413"/>
      <c r="CC29" s="413"/>
      <c r="CD29" s="413"/>
      <c r="CE29" s="413"/>
      <c r="CF29" s="414"/>
      <c r="CG29" s="413"/>
      <c r="CH29" s="413"/>
      <c r="CI29" s="413"/>
      <c r="CJ29" s="413"/>
      <c r="CK29" s="413"/>
      <c r="CL29" s="413"/>
      <c r="CM29" s="414"/>
      <c r="CN29" s="413"/>
      <c r="CO29" s="413"/>
      <c r="CP29" s="414"/>
      <c r="CQ29" s="413"/>
      <c r="CR29" s="413"/>
      <c r="CS29" s="413"/>
      <c r="CT29" s="413"/>
      <c r="CU29" s="413"/>
      <c r="CV29" s="413"/>
      <c r="CW29" s="414"/>
      <c r="CX29" s="413"/>
      <c r="CY29" s="413"/>
      <c r="CZ29" s="414"/>
      <c r="DA29" s="413"/>
      <c r="DB29" s="414"/>
      <c r="DC29" s="413"/>
      <c r="DD29" s="413"/>
      <c r="DE29" s="413"/>
      <c r="DF29" s="413"/>
      <c r="DG29" s="414"/>
      <c r="DH29" s="413"/>
      <c r="DI29" s="413"/>
      <c r="DJ29" s="414"/>
      <c r="DK29" s="413"/>
      <c r="DL29" s="413"/>
      <c r="DM29" s="413"/>
      <c r="DN29" s="413"/>
      <c r="DO29" s="413"/>
      <c r="DP29" s="413"/>
      <c r="DQ29" s="414"/>
      <c r="DR29" s="413"/>
      <c r="DS29" s="413"/>
      <c r="DT29" s="413"/>
      <c r="DU29" s="413"/>
      <c r="DV29" s="413"/>
      <c r="DW29" s="413"/>
      <c r="DX29" s="413"/>
      <c r="DY29" s="413"/>
      <c r="DZ29" s="413"/>
      <c r="EA29" s="413"/>
      <c r="EB29" s="413"/>
      <c r="EC29" s="413"/>
      <c r="ED29" s="413"/>
      <c r="EE29" s="413"/>
      <c r="EF29" s="413"/>
      <c r="EG29" s="413"/>
      <c r="EH29" s="413"/>
      <c r="EI29" s="413"/>
      <c r="EJ29" s="413"/>
      <c r="EK29" s="413"/>
      <c r="EL29" s="413"/>
      <c r="EM29" s="452"/>
      <c r="EN29" s="413"/>
      <c r="EO29" s="453"/>
      <c r="EP29" s="413"/>
      <c r="EQ29" s="434"/>
      <c r="ER29" s="434"/>
      <c r="ES29" s="434"/>
      <c r="ET29" s="434"/>
      <c r="EU29" s="434"/>
      <c r="EV29" s="434"/>
      <c r="EW29" s="434"/>
      <c r="EX29" s="434"/>
      <c r="EY29" s="434"/>
      <c r="EZ29" s="434"/>
      <c r="FA29" s="434"/>
      <c r="FB29" s="434"/>
      <c r="FC29" s="434"/>
      <c r="FD29" s="434"/>
      <c r="FE29" s="434"/>
      <c r="FF29" s="399"/>
      <c r="FG29" s="415"/>
      <c r="FH29" s="415"/>
      <c r="FI29" s="415"/>
      <c r="FJ29" s="415"/>
      <c r="FK29" s="415"/>
      <c r="FL29" s="415"/>
      <c r="FM29" s="415"/>
    </row>
    <row r="30" spans="1:169" hidden="1">
      <c r="A30" s="410"/>
      <c r="B30" s="416" t="s">
        <v>672</v>
      </c>
      <c r="C30" s="412"/>
      <c r="D30" s="412"/>
      <c r="E30" s="412"/>
      <c r="F30" s="412"/>
      <c r="G30" s="412"/>
      <c r="H30" s="412"/>
      <c r="I30" s="412"/>
      <c r="J30" s="412"/>
      <c r="K30" s="412"/>
      <c r="L30" s="412"/>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3"/>
      <c r="AL30" s="413"/>
      <c r="AM30" s="413"/>
      <c r="AN30" s="413"/>
      <c r="AO30" s="414"/>
      <c r="AP30" s="413"/>
      <c r="AQ30" s="413"/>
      <c r="AR30" s="413"/>
      <c r="AS30" s="413"/>
      <c r="AT30" s="413"/>
      <c r="AU30" s="413"/>
      <c r="AV30" s="413"/>
      <c r="AW30" s="413"/>
      <c r="AX30" s="413"/>
      <c r="AY30" s="414"/>
      <c r="AZ30" s="413"/>
      <c r="BA30" s="413"/>
      <c r="BB30" s="413"/>
      <c r="BC30" s="413"/>
      <c r="BD30" s="413"/>
      <c r="BE30" s="413"/>
      <c r="BF30" s="413"/>
      <c r="BG30" s="413"/>
      <c r="BH30" s="413"/>
      <c r="BI30" s="414"/>
      <c r="BJ30" s="413"/>
      <c r="BK30" s="413"/>
      <c r="BL30" s="413"/>
      <c r="BM30" s="413"/>
      <c r="BN30" s="413"/>
      <c r="BO30" s="413"/>
      <c r="BP30" s="413"/>
      <c r="BQ30" s="413"/>
      <c r="BR30" s="413"/>
      <c r="BS30" s="413"/>
      <c r="BT30" s="413"/>
      <c r="BU30" s="413"/>
      <c r="BV30" s="413"/>
      <c r="BW30" s="413"/>
      <c r="BX30" s="413"/>
      <c r="BY30" s="413"/>
      <c r="BZ30" s="413"/>
      <c r="CA30" s="413"/>
      <c r="CB30" s="413"/>
      <c r="CC30" s="413"/>
      <c r="CD30" s="413"/>
      <c r="CE30" s="413"/>
      <c r="CF30" s="413"/>
      <c r="CG30" s="413"/>
      <c r="CH30" s="413"/>
      <c r="CI30" s="413"/>
      <c r="CJ30" s="413"/>
      <c r="CK30" s="413"/>
      <c r="CL30" s="413"/>
      <c r="CM30" s="414"/>
      <c r="CN30" s="413"/>
      <c r="CO30" s="413"/>
      <c r="CP30" s="413"/>
      <c r="CQ30" s="413"/>
      <c r="CR30" s="413"/>
      <c r="CS30" s="413"/>
      <c r="CT30" s="413"/>
      <c r="CU30" s="413"/>
      <c r="CV30" s="413"/>
      <c r="CW30" s="414"/>
      <c r="CX30" s="413"/>
      <c r="CY30" s="413"/>
      <c r="CZ30" s="413"/>
      <c r="DA30" s="413"/>
      <c r="DB30" s="413"/>
      <c r="DC30" s="413"/>
      <c r="DD30" s="413"/>
      <c r="DE30" s="413"/>
      <c r="DF30" s="413"/>
      <c r="DG30" s="414"/>
      <c r="DH30" s="413"/>
      <c r="DI30" s="413"/>
      <c r="DJ30" s="413"/>
      <c r="DK30" s="413"/>
      <c r="DL30" s="413"/>
      <c r="DM30" s="413"/>
      <c r="DN30" s="413"/>
      <c r="DO30" s="413"/>
      <c r="DP30" s="413"/>
      <c r="DQ30" s="414"/>
      <c r="DR30" s="413"/>
      <c r="DS30" s="413"/>
      <c r="DT30" s="413"/>
      <c r="DU30" s="413"/>
      <c r="DV30" s="413"/>
      <c r="DW30" s="413"/>
      <c r="DX30" s="413"/>
      <c r="DY30" s="413"/>
      <c r="DZ30" s="413"/>
      <c r="EA30" s="413"/>
      <c r="EB30" s="413"/>
      <c r="EC30" s="413"/>
      <c r="ED30" s="413"/>
      <c r="EE30" s="413"/>
      <c r="EF30" s="413"/>
      <c r="EG30" s="413"/>
      <c r="EH30" s="413"/>
      <c r="EI30" s="413"/>
      <c r="EJ30" s="413"/>
      <c r="EK30" s="413"/>
      <c r="EL30" s="413"/>
      <c r="EM30" s="452"/>
      <c r="EN30" s="413"/>
      <c r="EO30" s="453"/>
      <c r="EP30" s="413"/>
      <c r="EQ30" s="434"/>
      <c r="ER30" s="434"/>
      <c r="ES30" s="434"/>
      <c r="ET30" s="434"/>
      <c r="EU30" s="434"/>
      <c r="EV30" s="434"/>
      <c r="EW30" s="434"/>
      <c r="EX30" s="434"/>
      <c r="EY30" s="434"/>
      <c r="EZ30" s="434"/>
      <c r="FA30" s="434"/>
      <c r="FB30" s="434"/>
      <c r="FC30" s="399"/>
      <c r="FD30" s="399"/>
      <c r="FE30" s="399"/>
      <c r="FF30" s="399"/>
      <c r="FG30" s="415"/>
      <c r="FH30" s="415"/>
      <c r="FI30" s="415"/>
      <c r="FJ30" s="415"/>
      <c r="FK30" s="415"/>
      <c r="FL30" s="415"/>
      <c r="FM30" s="415"/>
    </row>
    <row r="31" spans="1:169" hidden="1">
      <c r="A31" s="410"/>
      <c r="B31" s="57" t="s">
        <v>153</v>
      </c>
      <c r="C31" s="412"/>
      <c r="D31" s="412"/>
      <c r="E31" s="412"/>
      <c r="F31" s="412"/>
      <c r="G31" s="412"/>
      <c r="H31" s="412"/>
      <c r="I31" s="412"/>
      <c r="J31" s="412"/>
      <c r="K31" s="412"/>
      <c r="L31" s="412"/>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4"/>
      <c r="AP31" s="413"/>
      <c r="AQ31" s="413"/>
      <c r="AR31" s="413"/>
      <c r="AS31" s="413"/>
      <c r="AT31" s="413"/>
      <c r="AU31" s="413"/>
      <c r="AV31" s="413"/>
      <c r="AW31" s="413"/>
      <c r="AX31" s="413"/>
      <c r="AY31" s="414"/>
      <c r="AZ31" s="413"/>
      <c r="BA31" s="413"/>
      <c r="BB31" s="413"/>
      <c r="BC31" s="413"/>
      <c r="BD31" s="413"/>
      <c r="BE31" s="413"/>
      <c r="BF31" s="413"/>
      <c r="BG31" s="413"/>
      <c r="BH31" s="413"/>
      <c r="BI31" s="414"/>
      <c r="BJ31" s="413"/>
      <c r="BK31" s="413"/>
      <c r="BL31" s="413"/>
      <c r="BM31" s="413"/>
      <c r="BN31" s="413"/>
      <c r="BO31" s="413"/>
      <c r="BP31" s="413"/>
      <c r="BQ31" s="413"/>
      <c r="BR31" s="413"/>
      <c r="BS31" s="413"/>
      <c r="BT31" s="413"/>
      <c r="BU31" s="413"/>
      <c r="BV31" s="413"/>
      <c r="BW31" s="413"/>
      <c r="BX31" s="413"/>
      <c r="BY31" s="413"/>
      <c r="BZ31" s="413"/>
      <c r="CA31" s="413"/>
      <c r="CB31" s="413"/>
      <c r="CC31" s="413"/>
      <c r="CD31" s="413"/>
      <c r="CE31" s="413"/>
      <c r="CF31" s="413"/>
      <c r="CG31" s="413"/>
      <c r="CH31" s="413"/>
      <c r="CI31" s="413"/>
      <c r="CJ31" s="413"/>
      <c r="CK31" s="413"/>
      <c r="CL31" s="413"/>
      <c r="CM31" s="414"/>
      <c r="CN31" s="413"/>
      <c r="CO31" s="413"/>
      <c r="CP31" s="413"/>
      <c r="CQ31" s="413"/>
      <c r="CR31" s="413"/>
      <c r="CS31" s="413"/>
      <c r="CT31" s="413"/>
      <c r="CU31" s="413"/>
      <c r="CV31" s="413"/>
      <c r="CW31" s="414"/>
      <c r="CX31" s="413"/>
      <c r="CY31" s="413"/>
      <c r="CZ31" s="413"/>
      <c r="DA31" s="413"/>
      <c r="DB31" s="413"/>
      <c r="DC31" s="413"/>
      <c r="DD31" s="413"/>
      <c r="DE31" s="413"/>
      <c r="DF31" s="413"/>
      <c r="DG31" s="414"/>
      <c r="DH31" s="413"/>
      <c r="DI31" s="413"/>
      <c r="DJ31" s="413"/>
      <c r="DK31" s="413"/>
      <c r="DL31" s="413"/>
      <c r="DM31" s="413"/>
      <c r="DN31" s="413"/>
      <c r="DO31" s="413"/>
      <c r="DP31" s="413"/>
      <c r="DQ31" s="414"/>
      <c r="DR31" s="413"/>
      <c r="DS31" s="413"/>
      <c r="DT31" s="413"/>
      <c r="DU31" s="413"/>
      <c r="DV31" s="413"/>
      <c r="DW31" s="413"/>
      <c r="DX31" s="413"/>
      <c r="DY31" s="413"/>
      <c r="DZ31" s="413"/>
      <c r="EA31" s="413"/>
      <c r="EB31" s="413"/>
      <c r="EC31" s="413"/>
      <c r="ED31" s="413"/>
      <c r="EE31" s="413"/>
      <c r="EF31" s="413"/>
      <c r="EG31" s="413"/>
      <c r="EH31" s="413"/>
      <c r="EI31" s="413"/>
      <c r="EJ31" s="413"/>
      <c r="EK31" s="413"/>
      <c r="EL31" s="413"/>
      <c r="EM31" s="452"/>
      <c r="EN31" s="413"/>
      <c r="EO31" s="453"/>
      <c r="EP31" s="413"/>
      <c r="EQ31" s="434"/>
      <c r="ER31" s="434"/>
      <c r="ES31" s="434"/>
      <c r="ET31" s="434"/>
      <c r="EU31" s="434"/>
      <c r="EV31" s="434"/>
      <c r="EW31" s="434"/>
      <c r="EX31" s="434"/>
      <c r="EY31" s="434"/>
      <c r="EZ31" s="434"/>
      <c r="FA31" s="434"/>
      <c r="FB31" s="434"/>
      <c r="FC31" s="399"/>
      <c r="FD31" s="399"/>
      <c r="FE31" s="399"/>
      <c r="FF31" s="399"/>
      <c r="FG31" s="415"/>
      <c r="FH31" s="415"/>
      <c r="FI31" s="415"/>
      <c r="FJ31" s="415"/>
      <c r="FK31" s="415"/>
      <c r="FL31" s="415"/>
      <c r="FM31" s="415"/>
    </row>
    <row r="32" spans="1:169" hidden="1">
      <c r="A32" s="410"/>
      <c r="B32" s="57"/>
      <c r="C32" s="412"/>
      <c r="D32" s="412"/>
      <c r="E32" s="412"/>
      <c r="F32" s="412"/>
      <c r="G32" s="412"/>
      <c r="H32" s="412"/>
      <c r="I32" s="412"/>
      <c r="J32" s="412"/>
      <c r="K32" s="412"/>
      <c r="L32" s="412"/>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3"/>
      <c r="AN32" s="413"/>
      <c r="AO32" s="414"/>
      <c r="AP32" s="413"/>
      <c r="AQ32" s="413"/>
      <c r="AR32" s="413"/>
      <c r="AS32" s="413"/>
      <c r="AT32" s="413"/>
      <c r="AU32" s="413"/>
      <c r="AV32" s="413"/>
      <c r="AW32" s="413"/>
      <c r="AX32" s="413"/>
      <c r="AY32" s="414"/>
      <c r="AZ32" s="413"/>
      <c r="BA32" s="413"/>
      <c r="BB32" s="413"/>
      <c r="BC32" s="413"/>
      <c r="BD32" s="413"/>
      <c r="BE32" s="413"/>
      <c r="BF32" s="413"/>
      <c r="BG32" s="413"/>
      <c r="BH32" s="413"/>
      <c r="BI32" s="414"/>
      <c r="BJ32" s="413"/>
      <c r="BK32" s="413"/>
      <c r="BL32" s="413"/>
      <c r="BM32" s="413"/>
      <c r="BN32" s="413"/>
      <c r="BO32" s="413"/>
      <c r="BP32" s="413"/>
      <c r="BQ32" s="413"/>
      <c r="BR32" s="413"/>
      <c r="BS32" s="413"/>
      <c r="BT32" s="413"/>
      <c r="BU32" s="413"/>
      <c r="BV32" s="413"/>
      <c r="BW32" s="413"/>
      <c r="BX32" s="413"/>
      <c r="BY32" s="413"/>
      <c r="BZ32" s="413"/>
      <c r="CA32" s="413"/>
      <c r="CB32" s="413"/>
      <c r="CC32" s="413"/>
      <c r="CD32" s="413"/>
      <c r="CE32" s="413"/>
      <c r="CF32" s="413"/>
      <c r="CG32" s="413"/>
      <c r="CH32" s="413"/>
      <c r="CI32" s="413"/>
      <c r="CJ32" s="413"/>
      <c r="CK32" s="413"/>
      <c r="CL32" s="413"/>
      <c r="CM32" s="414"/>
      <c r="CN32" s="413"/>
      <c r="CO32" s="413"/>
      <c r="CP32" s="413"/>
      <c r="CQ32" s="413"/>
      <c r="CR32" s="413"/>
      <c r="CS32" s="413"/>
      <c r="CT32" s="413"/>
      <c r="CU32" s="413"/>
      <c r="CV32" s="413"/>
      <c r="CW32" s="414"/>
      <c r="CX32" s="413"/>
      <c r="CY32" s="413"/>
      <c r="CZ32" s="413"/>
      <c r="DA32" s="413"/>
      <c r="DB32" s="413"/>
      <c r="DC32" s="413"/>
      <c r="DD32" s="413"/>
      <c r="DE32" s="413"/>
      <c r="DF32" s="413"/>
      <c r="DG32" s="414"/>
      <c r="DH32" s="413"/>
      <c r="DI32" s="413"/>
      <c r="DJ32" s="413"/>
      <c r="DK32" s="413"/>
      <c r="DL32" s="413"/>
      <c r="DM32" s="413"/>
      <c r="DN32" s="413"/>
      <c r="DO32" s="413"/>
      <c r="DP32" s="413"/>
      <c r="DQ32" s="414"/>
      <c r="DR32" s="413"/>
      <c r="DS32" s="413"/>
      <c r="DT32" s="413"/>
      <c r="DU32" s="413"/>
      <c r="DV32" s="413"/>
      <c r="DW32" s="413"/>
      <c r="DX32" s="413"/>
      <c r="DY32" s="413"/>
      <c r="DZ32" s="413"/>
      <c r="EA32" s="413"/>
      <c r="EB32" s="413"/>
      <c r="EC32" s="413"/>
      <c r="ED32" s="413"/>
      <c r="EE32" s="413"/>
      <c r="EF32" s="413"/>
      <c r="EG32" s="413"/>
      <c r="EH32" s="413"/>
      <c r="EI32" s="413"/>
      <c r="EJ32" s="413"/>
      <c r="EK32" s="413"/>
      <c r="EL32" s="413"/>
      <c r="EM32" s="452"/>
      <c r="EN32" s="413"/>
      <c r="EO32" s="453"/>
      <c r="EP32" s="413"/>
      <c r="EQ32" s="434"/>
      <c r="ER32" s="434"/>
      <c r="ES32" s="434"/>
      <c r="ET32" s="434"/>
      <c r="EU32" s="434"/>
      <c r="EV32" s="434"/>
      <c r="EW32" s="434"/>
      <c r="EX32" s="434"/>
      <c r="EY32" s="434"/>
      <c r="EZ32" s="434"/>
      <c r="FA32" s="434"/>
      <c r="FB32" s="434"/>
      <c r="FC32" s="399"/>
      <c r="FD32" s="399"/>
      <c r="FE32" s="399"/>
      <c r="FF32" s="399"/>
      <c r="FG32" s="415"/>
      <c r="FH32" s="415"/>
      <c r="FI32" s="415"/>
      <c r="FJ32" s="415"/>
      <c r="FK32" s="415"/>
      <c r="FL32" s="415"/>
      <c r="FM32" s="415"/>
    </row>
    <row r="33" spans="1:169" ht="28.5">
      <c r="A33" s="410">
        <v>4</v>
      </c>
      <c r="B33" s="461" t="s">
        <v>1307</v>
      </c>
      <c r="C33" s="412"/>
      <c r="D33" s="412"/>
      <c r="E33" s="412"/>
      <c r="F33" s="412"/>
      <c r="G33" s="412"/>
      <c r="H33" s="412"/>
      <c r="I33" s="412"/>
      <c r="J33" s="412"/>
      <c r="K33" s="412"/>
      <c r="L33" s="412"/>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3"/>
      <c r="AN33" s="413"/>
      <c r="AO33" s="414"/>
      <c r="AP33" s="413"/>
      <c r="AQ33" s="413"/>
      <c r="AR33" s="413"/>
      <c r="AS33" s="413"/>
      <c r="AT33" s="413"/>
      <c r="AU33" s="413"/>
      <c r="AV33" s="413"/>
      <c r="AW33" s="413"/>
      <c r="AX33" s="413"/>
      <c r="AY33" s="414"/>
      <c r="AZ33" s="413"/>
      <c r="BA33" s="413"/>
      <c r="BB33" s="413"/>
      <c r="BC33" s="413"/>
      <c r="BD33" s="413"/>
      <c r="BE33" s="413"/>
      <c r="BF33" s="413"/>
      <c r="BG33" s="413"/>
      <c r="BH33" s="413"/>
      <c r="BI33" s="414"/>
      <c r="BJ33" s="413"/>
      <c r="BK33" s="413"/>
      <c r="BL33" s="413"/>
      <c r="BM33" s="413"/>
      <c r="BN33" s="413"/>
      <c r="BO33" s="413"/>
      <c r="BP33" s="413"/>
      <c r="BQ33" s="413"/>
      <c r="BR33" s="413"/>
      <c r="BS33" s="413"/>
      <c r="BT33" s="413"/>
      <c r="BU33" s="413"/>
      <c r="BV33" s="413"/>
      <c r="BW33" s="413"/>
      <c r="BX33" s="413"/>
      <c r="BY33" s="413"/>
      <c r="BZ33" s="413"/>
      <c r="CA33" s="413"/>
      <c r="CB33" s="413"/>
      <c r="CC33" s="413"/>
      <c r="CD33" s="413"/>
      <c r="CE33" s="413"/>
      <c r="CF33" s="413"/>
      <c r="CG33" s="413"/>
      <c r="CH33" s="413"/>
      <c r="CI33" s="413"/>
      <c r="CJ33" s="413"/>
      <c r="CK33" s="413"/>
      <c r="CL33" s="413"/>
      <c r="CM33" s="414"/>
      <c r="CN33" s="413"/>
      <c r="CO33" s="413"/>
      <c r="CP33" s="413"/>
      <c r="CQ33" s="413"/>
      <c r="CR33" s="413"/>
      <c r="CS33" s="413"/>
      <c r="CT33" s="413"/>
      <c r="CU33" s="413"/>
      <c r="CV33" s="413"/>
      <c r="CW33" s="414"/>
      <c r="CX33" s="413"/>
      <c r="CY33" s="413"/>
      <c r="CZ33" s="413"/>
      <c r="DA33" s="413"/>
      <c r="DB33" s="413"/>
      <c r="DC33" s="413"/>
      <c r="DD33" s="413"/>
      <c r="DE33" s="413"/>
      <c r="DF33" s="413"/>
      <c r="DG33" s="414"/>
      <c r="DH33" s="413"/>
      <c r="DI33" s="413"/>
      <c r="DJ33" s="413"/>
      <c r="DK33" s="413"/>
      <c r="DL33" s="413"/>
      <c r="DM33" s="413"/>
      <c r="DN33" s="413"/>
      <c r="DO33" s="413"/>
      <c r="DP33" s="413"/>
      <c r="DQ33" s="414"/>
      <c r="DR33" s="413"/>
      <c r="DS33" s="413"/>
      <c r="DT33" s="413"/>
      <c r="DU33" s="413"/>
      <c r="DV33" s="413"/>
      <c r="DW33" s="413"/>
      <c r="DX33" s="413"/>
      <c r="DY33" s="413"/>
      <c r="DZ33" s="413"/>
      <c r="EA33" s="413"/>
      <c r="EB33" s="413"/>
      <c r="EC33" s="413"/>
      <c r="ED33" s="413"/>
      <c r="EE33" s="413"/>
      <c r="EF33" s="413"/>
      <c r="EG33" s="413"/>
      <c r="EH33" s="413"/>
      <c r="EI33" s="413"/>
      <c r="EJ33" s="413"/>
      <c r="EK33" s="413"/>
      <c r="EL33" s="413"/>
      <c r="EM33" s="452"/>
      <c r="EN33" s="413"/>
      <c r="EO33" s="453"/>
      <c r="EP33" s="413"/>
      <c r="EQ33" s="434"/>
      <c r="ER33" s="434"/>
      <c r="ES33" s="434"/>
      <c r="ET33" s="434"/>
      <c r="EU33" s="434"/>
      <c r="EV33" s="434"/>
      <c r="EW33" s="434"/>
      <c r="EX33" s="434"/>
      <c r="EY33" s="434"/>
      <c r="EZ33" s="434"/>
      <c r="FA33" s="434"/>
      <c r="FB33" s="434"/>
      <c r="FC33" s="399"/>
      <c r="FD33" s="399"/>
      <c r="FE33" s="399"/>
      <c r="FF33" s="399"/>
      <c r="FG33" s="415"/>
      <c r="FH33" s="415"/>
      <c r="FI33" s="415"/>
      <c r="FJ33" s="415"/>
      <c r="FK33" s="415"/>
      <c r="FL33" s="415"/>
      <c r="FM33" s="415"/>
    </row>
    <row r="34" spans="1:169" hidden="1">
      <c r="A34" s="462" t="s">
        <v>15</v>
      </c>
      <c r="B34" s="181" t="s">
        <v>1308</v>
      </c>
      <c r="C34" s="412"/>
      <c r="D34" s="412"/>
      <c r="E34" s="412"/>
      <c r="F34" s="412"/>
      <c r="G34" s="412"/>
      <c r="H34" s="412"/>
      <c r="I34" s="412"/>
      <c r="J34" s="412"/>
      <c r="K34" s="412"/>
      <c r="L34" s="412"/>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13"/>
      <c r="AK34" s="413"/>
      <c r="AL34" s="413"/>
      <c r="AM34" s="413"/>
      <c r="AN34" s="413"/>
      <c r="AO34" s="414"/>
      <c r="AP34" s="413"/>
      <c r="AQ34" s="413"/>
      <c r="AR34" s="413"/>
      <c r="AS34" s="413"/>
      <c r="AT34" s="413"/>
      <c r="AU34" s="413"/>
      <c r="AV34" s="413"/>
      <c r="AW34" s="413"/>
      <c r="AX34" s="413"/>
      <c r="AY34" s="414"/>
      <c r="AZ34" s="413"/>
      <c r="BA34" s="413"/>
      <c r="BB34" s="413"/>
      <c r="BC34" s="413"/>
      <c r="BD34" s="413"/>
      <c r="BE34" s="413"/>
      <c r="BF34" s="413"/>
      <c r="BG34" s="413"/>
      <c r="BH34" s="413"/>
      <c r="BI34" s="414"/>
      <c r="BJ34" s="413"/>
      <c r="BK34" s="413"/>
      <c r="BL34" s="413"/>
      <c r="BM34" s="413"/>
      <c r="BN34" s="413"/>
      <c r="BO34" s="413"/>
      <c r="BP34" s="413"/>
      <c r="BQ34" s="413"/>
      <c r="BR34" s="413"/>
      <c r="BS34" s="413"/>
      <c r="BT34" s="413"/>
      <c r="BU34" s="413"/>
      <c r="BV34" s="413"/>
      <c r="BW34" s="413"/>
      <c r="BX34" s="413"/>
      <c r="BY34" s="413"/>
      <c r="BZ34" s="413"/>
      <c r="CA34" s="413"/>
      <c r="CB34" s="413"/>
      <c r="CC34" s="413"/>
      <c r="CD34" s="413"/>
      <c r="CE34" s="413"/>
      <c r="CF34" s="413"/>
      <c r="CG34" s="413"/>
      <c r="CH34" s="413"/>
      <c r="CI34" s="413"/>
      <c r="CJ34" s="413"/>
      <c r="CK34" s="413"/>
      <c r="CL34" s="413"/>
      <c r="CM34" s="414"/>
      <c r="CN34" s="413"/>
      <c r="CO34" s="413"/>
      <c r="CP34" s="413"/>
      <c r="CQ34" s="413"/>
      <c r="CR34" s="413"/>
      <c r="CS34" s="413"/>
      <c r="CT34" s="413"/>
      <c r="CU34" s="413"/>
      <c r="CV34" s="413"/>
      <c r="CW34" s="414"/>
      <c r="CX34" s="413"/>
      <c r="CY34" s="413"/>
      <c r="CZ34" s="413"/>
      <c r="DA34" s="413"/>
      <c r="DB34" s="413"/>
      <c r="DC34" s="413"/>
      <c r="DD34" s="413"/>
      <c r="DE34" s="413"/>
      <c r="DF34" s="413"/>
      <c r="DG34" s="414"/>
      <c r="DH34" s="413"/>
      <c r="DI34" s="413"/>
      <c r="DJ34" s="413"/>
      <c r="DK34" s="413"/>
      <c r="DL34" s="413"/>
      <c r="DM34" s="413"/>
      <c r="DN34" s="413"/>
      <c r="DO34" s="413"/>
      <c r="DP34" s="413"/>
      <c r="DQ34" s="414"/>
      <c r="DR34" s="413"/>
      <c r="DS34" s="413"/>
      <c r="DT34" s="413"/>
      <c r="DU34" s="413"/>
      <c r="DV34" s="413"/>
      <c r="DW34" s="413"/>
      <c r="DX34" s="413"/>
      <c r="DY34" s="413"/>
      <c r="DZ34" s="413"/>
      <c r="EA34" s="413"/>
      <c r="EB34" s="413"/>
      <c r="EC34" s="413"/>
      <c r="ED34" s="413"/>
      <c r="EE34" s="413"/>
      <c r="EF34" s="413"/>
      <c r="EG34" s="413"/>
      <c r="EH34" s="413"/>
      <c r="EI34" s="413"/>
      <c r="EJ34" s="413"/>
      <c r="EK34" s="413"/>
      <c r="EL34" s="413"/>
      <c r="EM34" s="452"/>
      <c r="EN34" s="413"/>
      <c r="EO34" s="453"/>
      <c r="EP34" s="413"/>
      <c r="EQ34" s="434"/>
      <c r="ER34" s="434"/>
      <c r="ES34" s="434"/>
      <c r="ET34" s="434"/>
      <c r="EU34" s="434"/>
      <c r="EV34" s="434"/>
      <c r="EW34" s="434"/>
      <c r="EX34" s="434"/>
      <c r="EY34" s="434"/>
      <c r="EZ34" s="434"/>
      <c r="FA34" s="434"/>
      <c r="FB34" s="434"/>
      <c r="FC34" s="399"/>
      <c r="FD34" s="399"/>
      <c r="FE34" s="399"/>
      <c r="FF34" s="399"/>
      <c r="FG34" s="415"/>
      <c r="FH34" s="415"/>
      <c r="FI34" s="415"/>
      <c r="FJ34" s="415"/>
      <c r="FK34" s="415"/>
      <c r="FL34" s="415"/>
      <c r="FM34" s="415"/>
    </row>
    <row r="35" spans="1:169" hidden="1">
      <c r="A35" s="410" t="s">
        <v>82</v>
      </c>
      <c r="B35" s="459" t="s">
        <v>1309</v>
      </c>
      <c r="C35" s="412"/>
      <c r="D35" s="412"/>
      <c r="E35" s="412"/>
      <c r="F35" s="412"/>
      <c r="G35" s="412"/>
      <c r="H35" s="412"/>
      <c r="I35" s="412"/>
      <c r="J35" s="412"/>
      <c r="K35" s="412"/>
      <c r="L35" s="412"/>
      <c r="M35" s="413"/>
      <c r="N35" s="413"/>
      <c r="O35" s="413"/>
      <c r="P35" s="413"/>
      <c r="Q35" s="413"/>
      <c r="R35" s="413"/>
      <c r="S35" s="413"/>
      <c r="T35" s="413"/>
      <c r="U35" s="413"/>
      <c r="V35" s="413"/>
      <c r="W35" s="413"/>
      <c r="X35" s="413"/>
      <c r="Y35" s="413"/>
      <c r="Z35" s="413"/>
      <c r="AA35" s="413"/>
      <c r="AB35" s="413"/>
      <c r="AC35" s="413"/>
      <c r="AD35" s="413"/>
      <c r="AE35" s="413"/>
      <c r="AF35" s="413"/>
      <c r="AG35" s="413"/>
      <c r="AH35" s="413"/>
      <c r="AI35" s="413"/>
      <c r="AJ35" s="413"/>
      <c r="AK35" s="413"/>
      <c r="AL35" s="413"/>
      <c r="AM35" s="413"/>
      <c r="AN35" s="413"/>
      <c r="AO35" s="414"/>
      <c r="AP35" s="413"/>
      <c r="AQ35" s="413"/>
      <c r="AR35" s="413"/>
      <c r="AS35" s="413"/>
      <c r="AT35" s="413"/>
      <c r="AU35" s="413"/>
      <c r="AV35" s="413"/>
      <c r="AW35" s="413"/>
      <c r="AX35" s="413"/>
      <c r="AY35" s="414"/>
      <c r="AZ35" s="413"/>
      <c r="BA35" s="413"/>
      <c r="BB35" s="413"/>
      <c r="BC35" s="413"/>
      <c r="BD35" s="413"/>
      <c r="BE35" s="413"/>
      <c r="BF35" s="413"/>
      <c r="BG35" s="413"/>
      <c r="BH35" s="413"/>
      <c r="BI35" s="414"/>
      <c r="BJ35" s="413"/>
      <c r="BK35" s="413"/>
      <c r="BL35" s="413"/>
      <c r="BM35" s="413"/>
      <c r="BN35" s="413"/>
      <c r="BO35" s="413"/>
      <c r="BP35" s="413"/>
      <c r="BQ35" s="413"/>
      <c r="BR35" s="413"/>
      <c r="BS35" s="413"/>
      <c r="BT35" s="413"/>
      <c r="BU35" s="413"/>
      <c r="BV35" s="413"/>
      <c r="BW35" s="413"/>
      <c r="BX35" s="413"/>
      <c r="BY35" s="413"/>
      <c r="BZ35" s="413"/>
      <c r="CA35" s="413"/>
      <c r="CB35" s="413"/>
      <c r="CC35" s="413"/>
      <c r="CD35" s="413"/>
      <c r="CE35" s="413"/>
      <c r="CF35" s="413"/>
      <c r="CG35" s="413"/>
      <c r="CH35" s="413"/>
      <c r="CI35" s="413"/>
      <c r="CJ35" s="413"/>
      <c r="CK35" s="413"/>
      <c r="CL35" s="413"/>
      <c r="CM35" s="414"/>
      <c r="CN35" s="413"/>
      <c r="CO35" s="413"/>
      <c r="CP35" s="413"/>
      <c r="CQ35" s="413"/>
      <c r="CR35" s="413"/>
      <c r="CS35" s="413"/>
      <c r="CT35" s="413"/>
      <c r="CU35" s="413"/>
      <c r="CV35" s="413"/>
      <c r="CW35" s="414"/>
      <c r="CX35" s="413"/>
      <c r="CY35" s="413"/>
      <c r="CZ35" s="413"/>
      <c r="DA35" s="413"/>
      <c r="DB35" s="413"/>
      <c r="DC35" s="413"/>
      <c r="DD35" s="413"/>
      <c r="DE35" s="413"/>
      <c r="DF35" s="413"/>
      <c r="DG35" s="414"/>
      <c r="DH35" s="413"/>
      <c r="DI35" s="413"/>
      <c r="DJ35" s="413"/>
      <c r="DK35" s="413"/>
      <c r="DL35" s="413"/>
      <c r="DM35" s="413"/>
      <c r="DN35" s="413"/>
      <c r="DO35" s="413"/>
      <c r="DP35" s="413"/>
      <c r="DQ35" s="414"/>
      <c r="DR35" s="413"/>
      <c r="DS35" s="413"/>
      <c r="DT35" s="413"/>
      <c r="DU35" s="413"/>
      <c r="DV35" s="413"/>
      <c r="DW35" s="413"/>
      <c r="DX35" s="413"/>
      <c r="DY35" s="413"/>
      <c r="DZ35" s="413"/>
      <c r="EA35" s="413"/>
      <c r="EB35" s="413"/>
      <c r="EC35" s="413"/>
      <c r="ED35" s="413"/>
      <c r="EE35" s="413"/>
      <c r="EF35" s="413"/>
      <c r="EG35" s="413"/>
      <c r="EH35" s="413"/>
      <c r="EI35" s="413"/>
      <c r="EJ35" s="413"/>
      <c r="EK35" s="413"/>
      <c r="EL35" s="413"/>
      <c r="EM35" s="452"/>
      <c r="EN35" s="413"/>
      <c r="EO35" s="453"/>
      <c r="EP35" s="413"/>
      <c r="EQ35" s="434"/>
      <c r="ER35" s="434"/>
      <c r="ES35" s="434"/>
      <c r="ET35" s="434"/>
      <c r="EU35" s="434"/>
      <c r="EV35" s="434"/>
      <c r="EW35" s="434"/>
      <c r="EX35" s="434"/>
      <c r="EY35" s="434"/>
      <c r="EZ35" s="434"/>
      <c r="FA35" s="434"/>
      <c r="FB35" s="434"/>
      <c r="FC35" s="399"/>
      <c r="FD35" s="399"/>
      <c r="FE35" s="399"/>
      <c r="FF35" s="399"/>
      <c r="FG35" s="415"/>
      <c r="FH35" s="415"/>
      <c r="FI35" s="415"/>
      <c r="FJ35" s="415"/>
      <c r="FK35" s="415"/>
      <c r="FL35" s="415"/>
      <c r="FM35" s="415"/>
    </row>
    <row r="36" spans="1:169" hidden="1">
      <c r="A36" s="410" t="s">
        <v>83</v>
      </c>
      <c r="B36" s="459" t="s">
        <v>1310</v>
      </c>
      <c r="C36" s="412"/>
      <c r="D36" s="412"/>
      <c r="E36" s="412"/>
      <c r="F36" s="412"/>
      <c r="G36" s="412"/>
      <c r="H36" s="412"/>
      <c r="I36" s="412"/>
      <c r="J36" s="412"/>
      <c r="K36" s="412"/>
      <c r="L36" s="412"/>
      <c r="M36" s="413"/>
      <c r="N36" s="413"/>
      <c r="O36" s="413"/>
      <c r="P36" s="413"/>
      <c r="Q36" s="413"/>
      <c r="R36" s="413"/>
      <c r="S36" s="413"/>
      <c r="T36" s="413"/>
      <c r="U36" s="413"/>
      <c r="V36" s="413"/>
      <c r="W36" s="413"/>
      <c r="X36" s="413"/>
      <c r="Y36" s="413"/>
      <c r="Z36" s="413"/>
      <c r="AA36" s="413"/>
      <c r="AB36" s="413"/>
      <c r="AC36" s="413"/>
      <c r="AD36" s="413"/>
      <c r="AE36" s="413"/>
      <c r="AF36" s="413"/>
      <c r="AG36" s="413"/>
      <c r="AH36" s="413"/>
      <c r="AI36" s="413"/>
      <c r="AJ36" s="413"/>
      <c r="AK36" s="413"/>
      <c r="AL36" s="413"/>
      <c r="AM36" s="413"/>
      <c r="AN36" s="413"/>
      <c r="AO36" s="414"/>
      <c r="AP36" s="413"/>
      <c r="AQ36" s="413"/>
      <c r="AR36" s="413"/>
      <c r="AS36" s="413"/>
      <c r="AT36" s="413"/>
      <c r="AU36" s="413"/>
      <c r="AV36" s="413"/>
      <c r="AW36" s="413"/>
      <c r="AX36" s="413"/>
      <c r="AY36" s="414"/>
      <c r="AZ36" s="413"/>
      <c r="BA36" s="413"/>
      <c r="BB36" s="413"/>
      <c r="BC36" s="413"/>
      <c r="BD36" s="413"/>
      <c r="BE36" s="413"/>
      <c r="BF36" s="413"/>
      <c r="BG36" s="413"/>
      <c r="BH36" s="413"/>
      <c r="BI36" s="414"/>
      <c r="BJ36" s="413"/>
      <c r="BK36" s="413"/>
      <c r="BL36" s="413"/>
      <c r="BM36" s="413"/>
      <c r="BN36" s="413"/>
      <c r="BO36" s="413"/>
      <c r="BP36" s="413"/>
      <c r="BQ36" s="413"/>
      <c r="BR36" s="413"/>
      <c r="BS36" s="413"/>
      <c r="BT36" s="413"/>
      <c r="BU36" s="413"/>
      <c r="BV36" s="413"/>
      <c r="BW36" s="413"/>
      <c r="BX36" s="413"/>
      <c r="BY36" s="413"/>
      <c r="BZ36" s="413"/>
      <c r="CA36" s="413"/>
      <c r="CB36" s="413"/>
      <c r="CC36" s="413"/>
      <c r="CD36" s="413"/>
      <c r="CE36" s="413"/>
      <c r="CF36" s="413"/>
      <c r="CG36" s="413"/>
      <c r="CH36" s="413"/>
      <c r="CI36" s="413"/>
      <c r="CJ36" s="413"/>
      <c r="CK36" s="413"/>
      <c r="CL36" s="413"/>
      <c r="CM36" s="414"/>
      <c r="CN36" s="413"/>
      <c r="CO36" s="413"/>
      <c r="CP36" s="413"/>
      <c r="CQ36" s="413"/>
      <c r="CR36" s="413"/>
      <c r="CS36" s="413"/>
      <c r="CT36" s="413"/>
      <c r="CU36" s="413"/>
      <c r="CV36" s="413"/>
      <c r="CW36" s="414"/>
      <c r="CX36" s="413"/>
      <c r="CY36" s="413"/>
      <c r="CZ36" s="413"/>
      <c r="DA36" s="413"/>
      <c r="DB36" s="413"/>
      <c r="DC36" s="413"/>
      <c r="DD36" s="413"/>
      <c r="DE36" s="413"/>
      <c r="DF36" s="413"/>
      <c r="DG36" s="414"/>
      <c r="DH36" s="413"/>
      <c r="DI36" s="413"/>
      <c r="DJ36" s="413"/>
      <c r="DK36" s="413"/>
      <c r="DL36" s="413"/>
      <c r="DM36" s="413"/>
      <c r="DN36" s="413"/>
      <c r="DO36" s="413"/>
      <c r="DP36" s="413"/>
      <c r="DQ36" s="414"/>
      <c r="DR36" s="413"/>
      <c r="DS36" s="413"/>
      <c r="DT36" s="413"/>
      <c r="DU36" s="413"/>
      <c r="DV36" s="413"/>
      <c r="DW36" s="413"/>
      <c r="DX36" s="413"/>
      <c r="DY36" s="413"/>
      <c r="DZ36" s="413"/>
      <c r="EA36" s="413"/>
      <c r="EB36" s="413"/>
      <c r="EC36" s="413"/>
      <c r="ED36" s="413"/>
      <c r="EE36" s="413"/>
      <c r="EF36" s="413"/>
      <c r="EG36" s="413"/>
      <c r="EH36" s="413"/>
      <c r="EI36" s="413"/>
      <c r="EJ36" s="413"/>
      <c r="EK36" s="413"/>
      <c r="EL36" s="413"/>
      <c r="EM36" s="452"/>
      <c r="EN36" s="413"/>
      <c r="EO36" s="453"/>
      <c r="EP36" s="413"/>
      <c r="EQ36" s="434"/>
      <c r="ER36" s="434"/>
      <c r="ES36" s="434"/>
      <c r="ET36" s="434"/>
      <c r="EU36" s="434"/>
      <c r="EV36" s="434"/>
      <c r="EW36" s="434"/>
      <c r="EX36" s="434"/>
      <c r="EY36" s="434"/>
      <c r="EZ36" s="434"/>
      <c r="FA36" s="434"/>
      <c r="FB36" s="434"/>
      <c r="FC36" s="399"/>
      <c r="FD36" s="399"/>
      <c r="FE36" s="399"/>
      <c r="FF36" s="399"/>
      <c r="FG36" s="415"/>
      <c r="FH36" s="415"/>
      <c r="FI36" s="415"/>
      <c r="FJ36" s="415"/>
      <c r="FK36" s="415"/>
      <c r="FL36" s="415"/>
      <c r="FM36" s="415"/>
    </row>
    <row r="37" spans="1:169" hidden="1">
      <c r="A37" s="410" t="s">
        <v>86</v>
      </c>
      <c r="B37" s="459" t="s">
        <v>1311</v>
      </c>
      <c r="C37" s="412"/>
      <c r="D37" s="412"/>
      <c r="E37" s="412"/>
      <c r="F37" s="412"/>
      <c r="G37" s="412"/>
      <c r="H37" s="412"/>
      <c r="I37" s="412"/>
      <c r="J37" s="412"/>
      <c r="K37" s="412"/>
      <c r="L37" s="412"/>
      <c r="M37" s="413"/>
      <c r="N37" s="413"/>
      <c r="O37" s="413"/>
      <c r="P37" s="413"/>
      <c r="Q37" s="413"/>
      <c r="R37" s="413"/>
      <c r="S37" s="413"/>
      <c r="T37" s="413"/>
      <c r="U37" s="413"/>
      <c r="V37" s="413"/>
      <c r="W37" s="413"/>
      <c r="X37" s="413"/>
      <c r="Y37" s="413"/>
      <c r="Z37" s="413"/>
      <c r="AA37" s="413"/>
      <c r="AB37" s="413"/>
      <c r="AC37" s="413"/>
      <c r="AD37" s="413"/>
      <c r="AE37" s="413"/>
      <c r="AF37" s="413"/>
      <c r="AG37" s="413"/>
      <c r="AH37" s="413"/>
      <c r="AI37" s="413"/>
      <c r="AJ37" s="413"/>
      <c r="AK37" s="413"/>
      <c r="AL37" s="413"/>
      <c r="AM37" s="413"/>
      <c r="AN37" s="413"/>
      <c r="AO37" s="414"/>
      <c r="AP37" s="413"/>
      <c r="AQ37" s="413"/>
      <c r="AR37" s="413"/>
      <c r="AS37" s="413"/>
      <c r="AT37" s="413"/>
      <c r="AU37" s="413"/>
      <c r="AV37" s="413"/>
      <c r="AW37" s="413"/>
      <c r="AX37" s="413"/>
      <c r="AY37" s="414"/>
      <c r="AZ37" s="413"/>
      <c r="BA37" s="413"/>
      <c r="BB37" s="413"/>
      <c r="BC37" s="413"/>
      <c r="BD37" s="413"/>
      <c r="BE37" s="413"/>
      <c r="BF37" s="413"/>
      <c r="BG37" s="413"/>
      <c r="BH37" s="413"/>
      <c r="BI37" s="414"/>
      <c r="BJ37" s="413"/>
      <c r="BK37" s="413"/>
      <c r="BL37" s="413"/>
      <c r="BM37" s="413"/>
      <c r="BN37" s="413"/>
      <c r="BO37" s="413"/>
      <c r="BP37" s="413"/>
      <c r="BQ37" s="413"/>
      <c r="BR37" s="413"/>
      <c r="BS37" s="413"/>
      <c r="BT37" s="413"/>
      <c r="BU37" s="413"/>
      <c r="BV37" s="413"/>
      <c r="BW37" s="413"/>
      <c r="BX37" s="413"/>
      <c r="BY37" s="413"/>
      <c r="BZ37" s="413"/>
      <c r="CA37" s="413"/>
      <c r="CB37" s="413"/>
      <c r="CC37" s="413"/>
      <c r="CD37" s="413"/>
      <c r="CE37" s="413"/>
      <c r="CF37" s="413"/>
      <c r="CG37" s="413"/>
      <c r="CH37" s="413"/>
      <c r="CI37" s="413"/>
      <c r="CJ37" s="413"/>
      <c r="CK37" s="413"/>
      <c r="CL37" s="413"/>
      <c r="CM37" s="414"/>
      <c r="CN37" s="413"/>
      <c r="CO37" s="413"/>
      <c r="CP37" s="413"/>
      <c r="CQ37" s="413"/>
      <c r="CR37" s="413"/>
      <c r="CS37" s="413"/>
      <c r="CT37" s="413"/>
      <c r="CU37" s="413"/>
      <c r="CV37" s="413"/>
      <c r="CW37" s="414"/>
      <c r="CX37" s="413"/>
      <c r="CY37" s="413"/>
      <c r="CZ37" s="413"/>
      <c r="DA37" s="413"/>
      <c r="DB37" s="413"/>
      <c r="DC37" s="413"/>
      <c r="DD37" s="413"/>
      <c r="DE37" s="413"/>
      <c r="DF37" s="413"/>
      <c r="DG37" s="414"/>
      <c r="DH37" s="413"/>
      <c r="DI37" s="413"/>
      <c r="DJ37" s="413"/>
      <c r="DK37" s="413"/>
      <c r="DL37" s="413"/>
      <c r="DM37" s="413"/>
      <c r="DN37" s="413"/>
      <c r="DO37" s="413"/>
      <c r="DP37" s="413"/>
      <c r="DQ37" s="414"/>
      <c r="DR37" s="413"/>
      <c r="DS37" s="413"/>
      <c r="DT37" s="413"/>
      <c r="DU37" s="413"/>
      <c r="DV37" s="413"/>
      <c r="DW37" s="413"/>
      <c r="DX37" s="413"/>
      <c r="DY37" s="413"/>
      <c r="DZ37" s="413"/>
      <c r="EA37" s="413"/>
      <c r="EB37" s="413"/>
      <c r="EC37" s="413"/>
      <c r="ED37" s="413"/>
      <c r="EE37" s="413"/>
      <c r="EF37" s="413"/>
      <c r="EG37" s="413"/>
      <c r="EH37" s="413"/>
      <c r="EI37" s="413"/>
      <c r="EJ37" s="413"/>
      <c r="EK37" s="413"/>
      <c r="EL37" s="413"/>
      <c r="EM37" s="452"/>
      <c r="EN37" s="413"/>
      <c r="EO37" s="453"/>
      <c r="EP37" s="413"/>
      <c r="EQ37" s="434"/>
      <c r="ER37" s="434"/>
      <c r="ES37" s="434"/>
      <c r="ET37" s="434"/>
      <c r="EU37" s="434"/>
      <c r="EV37" s="434"/>
      <c r="EW37" s="434"/>
      <c r="EX37" s="434"/>
      <c r="EY37" s="434"/>
      <c r="EZ37" s="434"/>
      <c r="FA37" s="434"/>
      <c r="FB37" s="434"/>
      <c r="FC37" s="399"/>
      <c r="FD37" s="399"/>
      <c r="FE37" s="399"/>
      <c r="FF37" s="399"/>
      <c r="FG37" s="415"/>
      <c r="FH37" s="415"/>
      <c r="FI37" s="415"/>
      <c r="FJ37" s="415"/>
      <c r="FK37" s="415"/>
      <c r="FL37" s="415"/>
      <c r="FM37" s="415"/>
    </row>
    <row r="38" spans="1:169" hidden="1">
      <c r="A38" s="410" t="s">
        <v>217</v>
      </c>
      <c r="B38" s="459" t="s">
        <v>1312</v>
      </c>
      <c r="C38" s="412"/>
      <c r="D38" s="412"/>
      <c r="E38" s="412"/>
      <c r="F38" s="412"/>
      <c r="G38" s="412"/>
      <c r="H38" s="412"/>
      <c r="I38" s="412"/>
      <c r="J38" s="412"/>
      <c r="K38" s="412"/>
      <c r="L38" s="412"/>
      <c r="M38" s="413"/>
      <c r="N38" s="413"/>
      <c r="O38" s="413"/>
      <c r="P38" s="413"/>
      <c r="Q38" s="413"/>
      <c r="R38" s="413"/>
      <c r="S38" s="413"/>
      <c r="T38" s="413"/>
      <c r="U38" s="413"/>
      <c r="V38" s="413"/>
      <c r="W38" s="413"/>
      <c r="X38" s="413"/>
      <c r="Y38" s="413"/>
      <c r="Z38" s="413"/>
      <c r="AA38" s="413"/>
      <c r="AB38" s="413"/>
      <c r="AC38" s="413"/>
      <c r="AD38" s="413"/>
      <c r="AE38" s="413"/>
      <c r="AF38" s="413"/>
      <c r="AG38" s="413"/>
      <c r="AH38" s="413"/>
      <c r="AI38" s="413"/>
      <c r="AJ38" s="413"/>
      <c r="AK38" s="413"/>
      <c r="AL38" s="413"/>
      <c r="AM38" s="413"/>
      <c r="AN38" s="413"/>
      <c r="AO38" s="414"/>
      <c r="AP38" s="413"/>
      <c r="AQ38" s="413"/>
      <c r="AR38" s="413"/>
      <c r="AS38" s="413"/>
      <c r="AT38" s="413"/>
      <c r="AU38" s="413"/>
      <c r="AV38" s="413"/>
      <c r="AW38" s="413"/>
      <c r="AX38" s="413"/>
      <c r="AY38" s="414"/>
      <c r="AZ38" s="413"/>
      <c r="BA38" s="413"/>
      <c r="BB38" s="413"/>
      <c r="BC38" s="413"/>
      <c r="BD38" s="413"/>
      <c r="BE38" s="413"/>
      <c r="BF38" s="413"/>
      <c r="BG38" s="413"/>
      <c r="BH38" s="413"/>
      <c r="BI38" s="414"/>
      <c r="BJ38" s="413"/>
      <c r="BK38" s="413"/>
      <c r="BL38" s="413"/>
      <c r="BM38" s="413"/>
      <c r="BN38" s="413"/>
      <c r="BO38" s="413"/>
      <c r="BP38" s="413"/>
      <c r="BQ38" s="413"/>
      <c r="BR38" s="413"/>
      <c r="BS38" s="413"/>
      <c r="BT38" s="413"/>
      <c r="BU38" s="413"/>
      <c r="BV38" s="413"/>
      <c r="BW38" s="413"/>
      <c r="BX38" s="413"/>
      <c r="BY38" s="413"/>
      <c r="BZ38" s="413"/>
      <c r="CA38" s="413"/>
      <c r="CB38" s="413"/>
      <c r="CC38" s="413"/>
      <c r="CD38" s="413"/>
      <c r="CE38" s="413"/>
      <c r="CF38" s="413"/>
      <c r="CG38" s="413"/>
      <c r="CH38" s="413"/>
      <c r="CI38" s="413"/>
      <c r="CJ38" s="413"/>
      <c r="CK38" s="413"/>
      <c r="CL38" s="413"/>
      <c r="CM38" s="414"/>
      <c r="CN38" s="413"/>
      <c r="CO38" s="413"/>
      <c r="CP38" s="413"/>
      <c r="CQ38" s="413"/>
      <c r="CR38" s="413"/>
      <c r="CS38" s="413"/>
      <c r="CT38" s="413"/>
      <c r="CU38" s="413"/>
      <c r="CV38" s="413"/>
      <c r="CW38" s="414"/>
      <c r="CX38" s="413"/>
      <c r="CY38" s="413"/>
      <c r="CZ38" s="413"/>
      <c r="DA38" s="413"/>
      <c r="DB38" s="413"/>
      <c r="DC38" s="413"/>
      <c r="DD38" s="413"/>
      <c r="DE38" s="413"/>
      <c r="DF38" s="413"/>
      <c r="DG38" s="414"/>
      <c r="DH38" s="413"/>
      <c r="DI38" s="413"/>
      <c r="DJ38" s="413"/>
      <c r="DK38" s="413"/>
      <c r="DL38" s="413"/>
      <c r="DM38" s="413"/>
      <c r="DN38" s="413"/>
      <c r="DO38" s="413"/>
      <c r="DP38" s="413"/>
      <c r="DQ38" s="414"/>
      <c r="DR38" s="413"/>
      <c r="DS38" s="413"/>
      <c r="DT38" s="413"/>
      <c r="DU38" s="413"/>
      <c r="DV38" s="413"/>
      <c r="DW38" s="413"/>
      <c r="DX38" s="413"/>
      <c r="DY38" s="413"/>
      <c r="DZ38" s="413"/>
      <c r="EA38" s="413"/>
      <c r="EB38" s="413"/>
      <c r="EC38" s="413"/>
      <c r="ED38" s="413"/>
      <c r="EE38" s="413"/>
      <c r="EF38" s="413"/>
      <c r="EG38" s="413"/>
      <c r="EH38" s="413"/>
      <c r="EI38" s="413"/>
      <c r="EJ38" s="413"/>
      <c r="EK38" s="413"/>
      <c r="EL38" s="413"/>
      <c r="EM38" s="452"/>
      <c r="EN38" s="413"/>
      <c r="EO38" s="453"/>
      <c r="EP38" s="413"/>
      <c r="EQ38" s="434"/>
      <c r="ER38" s="434"/>
      <c r="ES38" s="434"/>
      <c r="ET38" s="434"/>
      <c r="EU38" s="434"/>
      <c r="EV38" s="434"/>
      <c r="EW38" s="434"/>
      <c r="EX38" s="434"/>
      <c r="EY38" s="434"/>
      <c r="EZ38" s="434"/>
      <c r="FA38" s="434"/>
      <c r="FB38" s="434"/>
      <c r="FC38" s="399"/>
      <c r="FD38" s="399"/>
      <c r="FE38" s="399"/>
      <c r="FF38" s="399"/>
      <c r="FG38" s="415"/>
      <c r="FH38" s="415"/>
      <c r="FI38" s="415"/>
      <c r="FJ38" s="415"/>
      <c r="FK38" s="415"/>
      <c r="FL38" s="415"/>
      <c r="FM38" s="415"/>
    </row>
    <row r="39" spans="1:169" hidden="1">
      <c r="A39" s="410" t="s">
        <v>218</v>
      </c>
      <c r="B39" s="459" t="s">
        <v>1313</v>
      </c>
      <c r="C39" s="412"/>
      <c r="D39" s="412"/>
      <c r="E39" s="412"/>
      <c r="F39" s="412"/>
      <c r="G39" s="412"/>
      <c r="H39" s="412"/>
      <c r="I39" s="412"/>
      <c r="J39" s="412"/>
      <c r="K39" s="412"/>
      <c r="L39" s="412"/>
      <c r="M39" s="413"/>
      <c r="N39" s="413"/>
      <c r="O39" s="413"/>
      <c r="P39" s="413"/>
      <c r="Q39" s="413"/>
      <c r="R39" s="413"/>
      <c r="S39" s="413"/>
      <c r="T39" s="413"/>
      <c r="U39" s="413"/>
      <c r="V39" s="413"/>
      <c r="W39" s="413"/>
      <c r="X39" s="413"/>
      <c r="Y39" s="413"/>
      <c r="Z39" s="413"/>
      <c r="AA39" s="413"/>
      <c r="AB39" s="413"/>
      <c r="AC39" s="413"/>
      <c r="AD39" s="413"/>
      <c r="AE39" s="413"/>
      <c r="AF39" s="413"/>
      <c r="AG39" s="413"/>
      <c r="AH39" s="413"/>
      <c r="AI39" s="413"/>
      <c r="AJ39" s="413"/>
      <c r="AK39" s="413"/>
      <c r="AL39" s="413"/>
      <c r="AM39" s="413"/>
      <c r="AN39" s="413"/>
      <c r="AO39" s="414"/>
      <c r="AP39" s="413"/>
      <c r="AQ39" s="413"/>
      <c r="AR39" s="413"/>
      <c r="AS39" s="413"/>
      <c r="AT39" s="413"/>
      <c r="AU39" s="413"/>
      <c r="AV39" s="413"/>
      <c r="AW39" s="413"/>
      <c r="AX39" s="413"/>
      <c r="AY39" s="414"/>
      <c r="AZ39" s="413"/>
      <c r="BA39" s="413"/>
      <c r="BB39" s="413"/>
      <c r="BC39" s="413"/>
      <c r="BD39" s="413"/>
      <c r="BE39" s="413"/>
      <c r="BF39" s="413"/>
      <c r="BG39" s="413"/>
      <c r="BH39" s="413"/>
      <c r="BI39" s="414"/>
      <c r="BJ39" s="413"/>
      <c r="BK39" s="413"/>
      <c r="BL39" s="413"/>
      <c r="BM39" s="413"/>
      <c r="BN39" s="413"/>
      <c r="BO39" s="413"/>
      <c r="BP39" s="413"/>
      <c r="BQ39" s="413"/>
      <c r="BR39" s="413"/>
      <c r="BS39" s="413"/>
      <c r="BT39" s="413"/>
      <c r="BU39" s="413"/>
      <c r="BV39" s="413"/>
      <c r="BW39" s="413"/>
      <c r="BX39" s="413"/>
      <c r="BY39" s="413"/>
      <c r="BZ39" s="413"/>
      <c r="CA39" s="413"/>
      <c r="CB39" s="413"/>
      <c r="CC39" s="413"/>
      <c r="CD39" s="413"/>
      <c r="CE39" s="413"/>
      <c r="CF39" s="413"/>
      <c r="CG39" s="413"/>
      <c r="CH39" s="413"/>
      <c r="CI39" s="413"/>
      <c r="CJ39" s="413"/>
      <c r="CK39" s="413"/>
      <c r="CL39" s="413"/>
      <c r="CM39" s="414"/>
      <c r="CN39" s="413"/>
      <c r="CO39" s="413"/>
      <c r="CP39" s="413"/>
      <c r="CQ39" s="413"/>
      <c r="CR39" s="413"/>
      <c r="CS39" s="413"/>
      <c r="CT39" s="413"/>
      <c r="CU39" s="413"/>
      <c r="CV39" s="413"/>
      <c r="CW39" s="414"/>
      <c r="CX39" s="413"/>
      <c r="CY39" s="413"/>
      <c r="CZ39" s="413"/>
      <c r="DA39" s="413"/>
      <c r="DB39" s="413"/>
      <c r="DC39" s="413"/>
      <c r="DD39" s="413"/>
      <c r="DE39" s="413"/>
      <c r="DF39" s="413"/>
      <c r="DG39" s="414"/>
      <c r="DH39" s="413"/>
      <c r="DI39" s="413"/>
      <c r="DJ39" s="413"/>
      <c r="DK39" s="413"/>
      <c r="DL39" s="413"/>
      <c r="DM39" s="413"/>
      <c r="DN39" s="413"/>
      <c r="DO39" s="413"/>
      <c r="DP39" s="413"/>
      <c r="DQ39" s="414"/>
      <c r="DR39" s="413"/>
      <c r="DS39" s="413"/>
      <c r="DT39" s="413"/>
      <c r="DU39" s="413"/>
      <c r="DV39" s="413"/>
      <c r="DW39" s="413"/>
      <c r="DX39" s="413"/>
      <c r="DY39" s="413"/>
      <c r="DZ39" s="413"/>
      <c r="EA39" s="413"/>
      <c r="EB39" s="413"/>
      <c r="EC39" s="413"/>
      <c r="ED39" s="413"/>
      <c r="EE39" s="413"/>
      <c r="EF39" s="413"/>
      <c r="EG39" s="413"/>
      <c r="EH39" s="413"/>
      <c r="EI39" s="413"/>
      <c r="EJ39" s="413"/>
      <c r="EK39" s="413"/>
      <c r="EL39" s="413"/>
      <c r="EM39" s="452"/>
      <c r="EN39" s="413"/>
      <c r="EO39" s="453"/>
      <c r="EP39" s="413"/>
      <c r="EQ39" s="434"/>
      <c r="ER39" s="434"/>
      <c r="ES39" s="434"/>
      <c r="ET39" s="434"/>
      <c r="EU39" s="434"/>
      <c r="EV39" s="434"/>
      <c r="EW39" s="434"/>
      <c r="EX39" s="434"/>
      <c r="EY39" s="434"/>
      <c r="EZ39" s="434"/>
      <c r="FA39" s="434"/>
      <c r="FB39" s="434"/>
      <c r="FC39" s="399"/>
      <c r="FD39" s="399"/>
      <c r="FE39" s="399"/>
      <c r="FF39" s="399"/>
      <c r="FG39" s="415"/>
      <c r="FH39" s="415"/>
      <c r="FI39" s="415"/>
      <c r="FJ39" s="415"/>
      <c r="FK39" s="415"/>
      <c r="FL39" s="415"/>
      <c r="FM39" s="415"/>
    </row>
    <row r="40" spans="1:169" hidden="1">
      <c r="A40" s="410" t="s">
        <v>1297</v>
      </c>
      <c r="B40" s="459" t="s">
        <v>1314</v>
      </c>
      <c r="C40" s="412"/>
      <c r="D40" s="412"/>
      <c r="E40" s="412"/>
      <c r="F40" s="412"/>
      <c r="G40" s="412"/>
      <c r="H40" s="412"/>
      <c r="I40" s="412"/>
      <c r="J40" s="412"/>
      <c r="K40" s="412"/>
      <c r="L40" s="412"/>
      <c r="M40" s="413"/>
      <c r="N40" s="413"/>
      <c r="O40" s="413"/>
      <c r="P40" s="413"/>
      <c r="Q40" s="413"/>
      <c r="R40" s="413"/>
      <c r="S40" s="413"/>
      <c r="T40" s="413"/>
      <c r="U40" s="413"/>
      <c r="V40" s="413"/>
      <c r="W40" s="413"/>
      <c r="X40" s="413"/>
      <c r="Y40" s="413"/>
      <c r="Z40" s="413"/>
      <c r="AA40" s="413"/>
      <c r="AB40" s="413"/>
      <c r="AC40" s="413"/>
      <c r="AD40" s="413"/>
      <c r="AE40" s="413"/>
      <c r="AF40" s="413"/>
      <c r="AG40" s="413"/>
      <c r="AH40" s="413"/>
      <c r="AI40" s="413"/>
      <c r="AJ40" s="413"/>
      <c r="AK40" s="413"/>
      <c r="AL40" s="413"/>
      <c r="AM40" s="413"/>
      <c r="AN40" s="413"/>
      <c r="AO40" s="414"/>
      <c r="AP40" s="413"/>
      <c r="AQ40" s="413"/>
      <c r="AR40" s="413"/>
      <c r="AS40" s="413"/>
      <c r="AT40" s="413"/>
      <c r="AU40" s="413"/>
      <c r="AV40" s="413"/>
      <c r="AW40" s="413"/>
      <c r="AX40" s="413"/>
      <c r="AY40" s="414"/>
      <c r="AZ40" s="413"/>
      <c r="BA40" s="413"/>
      <c r="BB40" s="413"/>
      <c r="BC40" s="413"/>
      <c r="BD40" s="413"/>
      <c r="BE40" s="413"/>
      <c r="BF40" s="413"/>
      <c r="BG40" s="413"/>
      <c r="BH40" s="413"/>
      <c r="BI40" s="414"/>
      <c r="BJ40" s="413"/>
      <c r="BK40" s="413"/>
      <c r="BL40" s="413"/>
      <c r="BM40" s="413"/>
      <c r="BN40" s="413"/>
      <c r="BO40" s="413"/>
      <c r="BP40" s="413"/>
      <c r="BQ40" s="413"/>
      <c r="BR40" s="413"/>
      <c r="BS40" s="413"/>
      <c r="BT40" s="413"/>
      <c r="BU40" s="413"/>
      <c r="BV40" s="413"/>
      <c r="BW40" s="413"/>
      <c r="BX40" s="413"/>
      <c r="BY40" s="413"/>
      <c r="BZ40" s="413"/>
      <c r="CA40" s="413"/>
      <c r="CB40" s="413"/>
      <c r="CC40" s="413"/>
      <c r="CD40" s="413"/>
      <c r="CE40" s="413"/>
      <c r="CF40" s="413"/>
      <c r="CG40" s="413"/>
      <c r="CH40" s="413"/>
      <c r="CI40" s="413"/>
      <c r="CJ40" s="413"/>
      <c r="CK40" s="413"/>
      <c r="CL40" s="413"/>
      <c r="CM40" s="414"/>
      <c r="CN40" s="413"/>
      <c r="CO40" s="413"/>
      <c r="CP40" s="413"/>
      <c r="CQ40" s="413"/>
      <c r="CR40" s="413"/>
      <c r="CS40" s="413"/>
      <c r="CT40" s="413"/>
      <c r="CU40" s="413"/>
      <c r="CV40" s="413"/>
      <c r="CW40" s="414"/>
      <c r="CX40" s="413"/>
      <c r="CY40" s="413"/>
      <c r="CZ40" s="413"/>
      <c r="DA40" s="413"/>
      <c r="DB40" s="413"/>
      <c r="DC40" s="413"/>
      <c r="DD40" s="413"/>
      <c r="DE40" s="413"/>
      <c r="DF40" s="413"/>
      <c r="DG40" s="414"/>
      <c r="DH40" s="413"/>
      <c r="DI40" s="413"/>
      <c r="DJ40" s="413"/>
      <c r="DK40" s="413"/>
      <c r="DL40" s="413"/>
      <c r="DM40" s="413"/>
      <c r="DN40" s="413"/>
      <c r="DO40" s="413"/>
      <c r="DP40" s="413"/>
      <c r="DQ40" s="414"/>
      <c r="DR40" s="413"/>
      <c r="DS40" s="413"/>
      <c r="DT40" s="413"/>
      <c r="DU40" s="413"/>
      <c r="DV40" s="413"/>
      <c r="DW40" s="413"/>
      <c r="DX40" s="413"/>
      <c r="DY40" s="413"/>
      <c r="DZ40" s="413"/>
      <c r="EA40" s="413"/>
      <c r="EB40" s="413"/>
      <c r="EC40" s="413"/>
      <c r="ED40" s="413"/>
      <c r="EE40" s="413"/>
      <c r="EF40" s="413"/>
      <c r="EG40" s="413"/>
      <c r="EH40" s="413"/>
      <c r="EI40" s="413"/>
      <c r="EJ40" s="413"/>
      <c r="EK40" s="413"/>
      <c r="EL40" s="413"/>
      <c r="EM40" s="452"/>
      <c r="EN40" s="413"/>
      <c r="EO40" s="453"/>
      <c r="EP40" s="413"/>
      <c r="EQ40" s="434"/>
      <c r="ER40" s="434"/>
      <c r="ES40" s="434"/>
      <c r="ET40" s="434"/>
      <c r="EU40" s="434"/>
      <c r="EV40" s="434"/>
      <c r="EW40" s="434"/>
      <c r="EX40" s="434"/>
      <c r="EY40" s="434"/>
      <c r="EZ40" s="434"/>
      <c r="FA40" s="434"/>
      <c r="FB40" s="434"/>
      <c r="FC40" s="399"/>
      <c r="FD40" s="399"/>
      <c r="FE40" s="399"/>
      <c r="FF40" s="399"/>
      <c r="FG40" s="415"/>
      <c r="FH40" s="415"/>
      <c r="FI40" s="415"/>
      <c r="FJ40" s="415"/>
      <c r="FK40" s="415"/>
      <c r="FL40" s="415"/>
      <c r="FM40" s="415"/>
    </row>
    <row r="41" spans="1:169" hidden="1">
      <c r="A41" s="410" t="s">
        <v>1298</v>
      </c>
      <c r="B41" s="459" t="s">
        <v>1315</v>
      </c>
      <c r="C41" s="412"/>
      <c r="D41" s="412"/>
      <c r="E41" s="412"/>
      <c r="F41" s="412"/>
      <c r="G41" s="412"/>
      <c r="H41" s="412"/>
      <c r="I41" s="412"/>
      <c r="J41" s="412"/>
      <c r="K41" s="412"/>
      <c r="L41" s="412"/>
      <c r="M41" s="413"/>
      <c r="N41" s="413"/>
      <c r="O41" s="413"/>
      <c r="P41" s="413"/>
      <c r="Q41" s="413"/>
      <c r="R41" s="413"/>
      <c r="S41" s="413"/>
      <c r="T41" s="413"/>
      <c r="U41" s="413"/>
      <c r="V41" s="413"/>
      <c r="W41" s="413"/>
      <c r="X41" s="413"/>
      <c r="Y41" s="413"/>
      <c r="Z41" s="413"/>
      <c r="AA41" s="413"/>
      <c r="AB41" s="413"/>
      <c r="AC41" s="413"/>
      <c r="AD41" s="413"/>
      <c r="AE41" s="413"/>
      <c r="AF41" s="413"/>
      <c r="AG41" s="413"/>
      <c r="AH41" s="413"/>
      <c r="AI41" s="413"/>
      <c r="AJ41" s="413"/>
      <c r="AK41" s="413"/>
      <c r="AL41" s="413"/>
      <c r="AM41" s="413"/>
      <c r="AN41" s="413"/>
      <c r="AO41" s="414"/>
      <c r="AP41" s="413"/>
      <c r="AQ41" s="413"/>
      <c r="AR41" s="413"/>
      <c r="AS41" s="413"/>
      <c r="AT41" s="413"/>
      <c r="AU41" s="413"/>
      <c r="AV41" s="413"/>
      <c r="AW41" s="413"/>
      <c r="AX41" s="413"/>
      <c r="AY41" s="414"/>
      <c r="AZ41" s="413"/>
      <c r="BA41" s="413"/>
      <c r="BB41" s="413"/>
      <c r="BC41" s="413"/>
      <c r="BD41" s="413"/>
      <c r="BE41" s="413"/>
      <c r="BF41" s="413"/>
      <c r="BG41" s="413"/>
      <c r="BH41" s="413"/>
      <c r="BI41" s="414"/>
      <c r="BJ41" s="413"/>
      <c r="BK41" s="413"/>
      <c r="BL41" s="413"/>
      <c r="BM41" s="413"/>
      <c r="BN41" s="413"/>
      <c r="BO41" s="413"/>
      <c r="BP41" s="413"/>
      <c r="BQ41" s="413"/>
      <c r="BR41" s="413"/>
      <c r="BS41" s="413"/>
      <c r="BT41" s="413"/>
      <c r="BU41" s="413"/>
      <c r="BV41" s="413"/>
      <c r="BW41" s="413"/>
      <c r="BX41" s="413"/>
      <c r="BY41" s="413"/>
      <c r="BZ41" s="413"/>
      <c r="CA41" s="413"/>
      <c r="CB41" s="413"/>
      <c r="CC41" s="413"/>
      <c r="CD41" s="413"/>
      <c r="CE41" s="413"/>
      <c r="CF41" s="413"/>
      <c r="CG41" s="413"/>
      <c r="CH41" s="413"/>
      <c r="CI41" s="413"/>
      <c r="CJ41" s="413"/>
      <c r="CK41" s="413"/>
      <c r="CL41" s="413"/>
      <c r="CM41" s="414"/>
      <c r="CN41" s="413"/>
      <c r="CO41" s="413"/>
      <c r="CP41" s="413"/>
      <c r="CQ41" s="413"/>
      <c r="CR41" s="413"/>
      <c r="CS41" s="413"/>
      <c r="CT41" s="413"/>
      <c r="CU41" s="413"/>
      <c r="CV41" s="413"/>
      <c r="CW41" s="414"/>
      <c r="CX41" s="413"/>
      <c r="CY41" s="413"/>
      <c r="CZ41" s="413"/>
      <c r="DA41" s="413"/>
      <c r="DB41" s="413"/>
      <c r="DC41" s="413"/>
      <c r="DD41" s="413"/>
      <c r="DE41" s="413"/>
      <c r="DF41" s="413"/>
      <c r="DG41" s="414"/>
      <c r="DH41" s="413"/>
      <c r="DI41" s="413"/>
      <c r="DJ41" s="413"/>
      <c r="DK41" s="413"/>
      <c r="DL41" s="413"/>
      <c r="DM41" s="413"/>
      <c r="DN41" s="413"/>
      <c r="DO41" s="413"/>
      <c r="DP41" s="413"/>
      <c r="DQ41" s="414"/>
      <c r="DR41" s="413"/>
      <c r="DS41" s="413"/>
      <c r="DT41" s="413"/>
      <c r="DU41" s="413"/>
      <c r="DV41" s="413"/>
      <c r="DW41" s="413"/>
      <c r="DX41" s="413"/>
      <c r="DY41" s="413"/>
      <c r="DZ41" s="413"/>
      <c r="EA41" s="413"/>
      <c r="EB41" s="413"/>
      <c r="EC41" s="413"/>
      <c r="ED41" s="413"/>
      <c r="EE41" s="413"/>
      <c r="EF41" s="413"/>
      <c r="EG41" s="413"/>
      <c r="EH41" s="413"/>
      <c r="EI41" s="413"/>
      <c r="EJ41" s="413"/>
      <c r="EK41" s="413"/>
      <c r="EL41" s="413"/>
      <c r="EM41" s="452"/>
      <c r="EN41" s="413"/>
      <c r="EO41" s="453"/>
      <c r="EP41" s="413"/>
      <c r="EQ41" s="434"/>
      <c r="ER41" s="434"/>
      <c r="ES41" s="434"/>
      <c r="ET41" s="434"/>
      <c r="EU41" s="434"/>
      <c r="EV41" s="434"/>
      <c r="EW41" s="434"/>
      <c r="EX41" s="434"/>
      <c r="EY41" s="434"/>
      <c r="EZ41" s="434"/>
      <c r="FA41" s="434"/>
      <c r="FB41" s="434"/>
      <c r="FC41" s="399"/>
      <c r="FD41" s="399"/>
      <c r="FE41" s="399"/>
      <c r="FF41" s="399"/>
      <c r="FG41" s="415"/>
      <c r="FH41" s="415"/>
      <c r="FI41" s="415"/>
      <c r="FJ41" s="415"/>
      <c r="FK41" s="415"/>
      <c r="FL41" s="415"/>
      <c r="FM41" s="415"/>
    </row>
    <row r="42" spans="1:169" hidden="1">
      <c r="A42" s="410" t="s">
        <v>1299</v>
      </c>
      <c r="B42" s="459" t="s">
        <v>1316</v>
      </c>
      <c r="C42" s="412"/>
      <c r="D42" s="412"/>
      <c r="E42" s="412"/>
      <c r="F42" s="412"/>
      <c r="G42" s="412"/>
      <c r="H42" s="412"/>
      <c r="I42" s="412"/>
      <c r="J42" s="412"/>
      <c r="K42" s="412"/>
      <c r="L42" s="412"/>
      <c r="M42" s="413"/>
      <c r="N42" s="413"/>
      <c r="O42" s="413"/>
      <c r="P42" s="413"/>
      <c r="Q42" s="413"/>
      <c r="R42" s="413"/>
      <c r="S42" s="413"/>
      <c r="T42" s="413"/>
      <c r="U42" s="413"/>
      <c r="V42" s="413"/>
      <c r="W42" s="413"/>
      <c r="X42" s="413"/>
      <c r="Y42" s="413"/>
      <c r="Z42" s="413"/>
      <c r="AA42" s="413"/>
      <c r="AB42" s="413"/>
      <c r="AC42" s="413"/>
      <c r="AD42" s="413"/>
      <c r="AE42" s="413"/>
      <c r="AF42" s="413"/>
      <c r="AG42" s="413"/>
      <c r="AH42" s="413"/>
      <c r="AI42" s="413"/>
      <c r="AJ42" s="413"/>
      <c r="AK42" s="413"/>
      <c r="AL42" s="413"/>
      <c r="AM42" s="413"/>
      <c r="AN42" s="413"/>
      <c r="AO42" s="414"/>
      <c r="AP42" s="413"/>
      <c r="AQ42" s="413"/>
      <c r="AR42" s="413"/>
      <c r="AS42" s="413"/>
      <c r="AT42" s="413"/>
      <c r="AU42" s="413"/>
      <c r="AV42" s="413"/>
      <c r="AW42" s="413"/>
      <c r="AX42" s="413"/>
      <c r="AY42" s="414"/>
      <c r="AZ42" s="413"/>
      <c r="BA42" s="413"/>
      <c r="BB42" s="413"/>
      <c r="BC42" s="413"/>
      <c r="BD42" s="413"/>
      <c r="BE42" s="413"/>
      <c r="BF42" s="413"/>
      <c r="BG42" s="413"/>
      <c r="BH42" s="413"/>
      <c r="BI42" s="414"/>
      <c r="BJ42" s="413"/>
      <c r="BK42" s="413"/>
      <c r="BL42" s="413"/>
      <c r="BM42" s="413"/>
      <c r="BN42" s="413"/>
      <c r="BO42" s="413"/>
      <c r="BP42" s="413"/>
      <c r="BQ42" s="413"/>
      <c r="BR42" s="413"/>
      <c r="BS42" s="413"/>
      <c r="BT42" s="413"/>
      <c r="BU42" s="413"/>
      <c r="BV42" s="413"/>
      <c r="BW42" s="413"/>
      <c r="BX42" s="413"/>
      <c r="BY42" s="413"/>
      <c r="BZ42" s="413"/>
      <c r="CA42" s="413"/>
      <c r="CB42" s="413"/>
      <c r="CC42" s="413"/>
      <c r="CD42" s="413"/>
      <c r="CE42" s="413"/>
      <c r="CF42" s="413"/>
      <c r="CG42" s="413"/>
      <c r="CH42" s="413"/>
      <c r="CI42" s="413"/>
      <c r="CJ42" s="413"/>
      <c r="CK42" s="413"/>
      <c r="CL42" s="413"/>
      <c r="CM42" s="414"/>
      <c r="CN42" s="413"/>
      <c r="CO42" s="413"/>
      <c r="CP42" s="413"/>
      <c r="CQ42" s="413"/>
      <c r="CR42" s="413"/>
      <c r="CS42" s="413"/>
      <c r="CT42" s="413"/>
      <c r="CU42" s="413"/>
      <c r="CV42" s="413"/>
      <c r="CW42" s="414"/>
      <c r="CX42" s="413"/>
      <c r="CY42" s="413"/>
      <c r="CZ42" s="413"/>
      <c r="DA42" s="413"/>
      <c r="DB42" s="413"/>
      <c r="DC42" s="413"/>
      <c r="DD42" s="413"/>
      <c r="DE42" s="413"/>
      <c r="DF42" s="413"/>
      <c r="DG42" s="414"/>
      <c r="DH42" s="413"/>
      <c r="DI42" s="413"/>
      <c r="DJ42" s="413"/>
      <c r="DK42" s="413"/>
      <c r="DL42" s="413"/>
      <c r="DM42" s="413"/>
      <c r="DN42" s="413"/>
      <c r="DO42" s="413"/>
      <c r="DP42" s="413"/>
      <c r="DQ42" s="414"/>
      <c r="DR42" s="413"/>
      <c r="DS42" s="413"/>
      <c r="DT42" s="413"/>
      <c r="DU42" s="413"/>
      <c r="DV42" s="413"/>
      <c r="DW42" s="413"/>
      <c r="DX42" s="413"/>
      <c r="DY42" s="413"/>
      <c r="DZ42" s="413"/>
      <c r="EA42" s="413"/>
      <c r="EB42" s="413"/>
      <c r="EC42" s="413"/>
      <c r="ED42" s="413"/>
      <c r="EE42" s="413"/>
      <c r="EF42" s="413"/>
      <c r="EG42" s="413"/>
      <c r="EH42" s="413"/>
      <c r="EI42" s="413"/>
      <c r="EJ42" s="413"/>
      <c r="EK42" s="413"/>
      <c r="EL42" s="413"/>
      <c r="EM42" s="452"/>
      <c r="EN42" s="413"/>
      <c r="EO42" s="453"/>
      <c r="EP42" s="413"/>
      <c r="EQ42" s="434"/>
      <c r="ER42" s="434"/>
      <c r="ES42" s="434"/>
      <c r="ET42" s="434"/>
      <c r="EU42" s="434"/>
      <c r="EV42" s="434"/>
      <c r="EW42" s="434"/>
      <c r="EX42" s="434"/>
      <c r="EY42" s="434"/>
      <c r="EZ42" s="434"/>
      <c r="FA42" s="434"/>
      <c r="FB42" s="434"/>
      <c r="FC42" s="399"/>
      <c r="FD42" s="399"/>
      <c r="FE42" s="399"/>
      <c r="FF42" s="399"/>
      <c r="FG42" s="415"/>
      <c r="FH42" s="415"/>
      <c r="FI42" s="415"/>
      <c r="FJ42" s="415"/>
      <c r="FK42" s="415"/>
      <c r="FL42" s="415"/>
      <c r="FM42" s="415"/>
    </row>
    <row r="43" spans="1:169" hidden="1">
      <c r="A43" s="410" t="s">
        <v>1300</v>
      </c>
      <c r="B43" s="459" t="s">
        <v>1317</v>
      </c>
      <c r="C43" s="412"/>
      <c r="D43" s="412"/>
      <c r="E43" s="412"/>
      <c r="F43" s="412"/>
      <c r="G43" s="412"/>
      <c r="H43" s="412"/>
      <c r="I43" s="412"/>
      <c r="J43" s="412"/>
      <c r="K43" s="412"/>
      <c r="L43" s="412"/>
      <c r="M43" s="413"/>
      <c r="N43" s="413"/>
      <c r="O43" s="413"/>
      <c r="P43" s="413"/>
      <c r="Q43" s="413"/>
      <c r="R43" s="413"/>
      <c r="S43" s="413"/>
      <c r="T43" s="413"/>
      <c r="U43" s="413"/>
      <c r="V43" s="413"/>
      <c r="W43" s="413"/>
      <c r="X43" s="413"/>
      <c r="Y43" s="413"/>
      <c r="Z43" s="413"/>
      <c r="AA43" s="413"/>
      <c r="AB43" s="413"/>
      <c r="AC43" s="413"/>
      <c r="AD43" s="413"/>
      <c r="AE43" s="413"/>
      <c r="AF43" s="413"/>
      <c r="AG43" s="413"/>
      <c r="AH43" s="413"/>
      <c r="AI43" s="413"/>
      <c r="AJ43" s="413"/>
      <c r="AK43" s="413"/>
      <c r="AL43" s="413"/>
      <c r="AM43" s="413"/>
      <c r="AN43" s="413"/>
      <c r="AO43" s="414"/>
      <c r="AP43" s="413"/>
      <c r="AQ43" s="413"/>
      <c r="AR43" s="413"/>
      <c r="AS43" s="413"/>
      <c r="AT43" s="413"/>
      <c r="AU43" s="413"/>
      <c r="AV43" s="413"/>
      <c r="AW43" s="413"/>
      <c r="AX43" s="413"/>
      <c r="AY43" s="414"/>
      <c r="AZ43" s="413"/>
      <c r="BA43" s="413"/>
      <c r="BB43" s="413"/>
      <c r="BC43" s="413"/>
      <c r="BD43" s="413"/>
      <c r="BE43" s="413"/>
      <c r="BF43" s="413"/>
      <c r="BG43" s="413"/>
      <c r="BH43" s="413"/>
      <c r="BI43" s="414"/>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F43" s="413"/>
      <c r="CG43" s="413"/>
      <c r="CH43" s="413"/>
      <c r="CI43" s="413"/>
      <c r="CJ43" s="413"/>
      <c r="CK43" s="413"/>
      <c r="CL43" s="413"/>
      <c r="CM43" s="414"/>
      <c r="CN43" s="413"/>
      <c r="CO43" s="413"/>
      <c r="CP43" s="413"/>
      <c r="CQ43" s="413"/>
      <c r="CR43" s="413"/>
      <c r="CS43" s="413"/>
      <c r="CT43" s="413"/>
      <c r="CU43" s="413"/>
      <c r="CV43" s="413"/>
      <c r="CW43" s="414"/>
      <c r="CX43" s="413"/>
      <c r="CY43" s="413"/>
      <c r="CZ43" s="413"/>
      <c r="DA43" s="413"/>
      <c r="DB43" s="413"/>
      <c r="DC43" s="413"/>
      <c r="DD43" s="413"/>
      <c r="DE43" s="413"/>
      <c r="DF43" s="413"/>
      <c r="DG43" s="414"/>
      <c r="DH43" s="413"/>
      <c r="DI43" s="413"/>
      <c r="DJ43" s="413"/>
      <c r="DK43" s="413"/>
      <c r="DL43" s="413"/>
      <c r="DM43" s="413"/>
      <c r="DN43" s="413"/>
      <c r="DO43" s="413"/>
      <c r="DP43" s="413"/>
      <c r="DQ43" s="414"/>
      <c r="DR43" s="413"/>
      <c r="DS43" s="413"/>
      <c r="DT43" s="413"/>
      <c r="DU43" s="413"/>
      <c r="DV43" s="413"/>
      <c r="DW43" s="413"/>
      <c r="DX43" s="413"/>
      <c r="DY43" s="413"/>
      <c r="DZ43" s="413"/>
      <c r="EA43" s="413"/>
      <c r="EB43" s="413"/>
      <c r="EC43" s="413"/>
      <c r="ED43" s="413"/>
      <c r="EE43" s="413"/>
      <c r="EF43" s="413"/>
      <c r="EG43" s="413"/>
      <c r="EH43" s="413"/>
      <c r="EI43" s="413"/>
      <c r="EJ43" s="413"/>
      <c r="EK43" s="413"/>
      <c r="EL43" s="413"/>
      <c r="EM43" s="452"/>
      <c r="EN43" s="413"/>
      <c r="EO43" s="453"/>
      <c r="EP43" s="413"/>
      <c r="EQ43" s="434"/>
      <c r="ER43" s="434"/>
      <c r="ES43" s="434"/>
      <c r="ET43" s="434"/>
      <c r="EU43" s="434"/>
      <c r="EV43" s="434"/>
      <c r="EW43" s="434"/>
      <c r="EX43" s="434"/>
      <c r="EY43" s="434"/>
      <c r="EZ43" s="434"/>
      <c r="FA43" s="434"/>
      <c r="FB43" s="434"/>
      <c r="FC43" s="399"/>
      <c r="FD43" s="399"/>
      <c r="FE43" s="399"/>
      <c r="FF43" s="399"/>
      <c r="FG43" s="415"/>
      <c r="FH43" s="415"/>
      <c r="FI43" s="415"/>
      <c r="FJ43" s="415"/>
      <c r="FK43" s="415"/>
      <c r="FL43" s="415"/>
      <c r="FM43" s="415"/>
    </row>
    <row r="44" spans="1:169" hidden="1">
      <c r="A44" s="410" t="s">
        <v>1319</v>
      </c>
      <c r="B44" s="459" t="s">
        <v>1318</v>
      </c>
      <c r="C44" s="412"/>
      <c r="D44" s="412"/>
      <c r="E44" s="412"/>
      <c r="F44" s="412"/>
      <c r="G44" s="412"/>
      <c r="H44" s="412"/>
      <c r="I44" s="412"/>
      <c r="J44" s="412"/>
      <c r="K44" s="412"/>
      <c r="L44" s="412"/>
      <c r="M44" s="413"/>
      <c r="N44" s="413"/>
      <c r="O44" s="413"/>
      <c r="P44" s="413"/>
      <c r="Q44" s="413"/>
      <c r="R44" s="413"/>
      <c r="S44" s="413"/>
      <c r="T44" s="413"/>
      <c r="U44" s="413"/>
      <c r="V44" s="413"/>
      <c r="W44" s="413"/>
      <c r="X44" s="413"/>
      <c r="Y44" s="413"/>
      <c r="Z44" s="413"/>
      <c r="AA44" s="413"/>
      <c r="AB44" s="413"/>
      <c r="AC44" s="413"/>
      <c r="AD44" s="413"/>
      <c r="AE44" s="413"/>
      <c r="AF44" s="413"/>
      <c r="AG44" s="413"/>
      <c r="AH44" s="413"/>
      <c r="AI44" s="413"/>
      <c r="AJ44" s="413"/>
      <c r="AK44" s="413"/>
      <c r="AL44" s="413"/>
      <c r="AM44" s="413"/>
      <c r="AN44" s="413"/>
      <c r="AO44" s="414"/>
      <c r="AP44" s="413"/>
      <c r="AQ44" s="413"/>
      <c r="AR44" s="413"/>
      <c r="AS44" s="413"/>
      <c r="AT44" s="413"/>
      <c r="AU44" s="413"/>
      <c r="AV44" s="413"/>
      <c r="AW44" s="413"/>
      <c r="AX44" s="413"/>
      <c r="AY44" s="414"/>
      <c r="AZ44" s="413"/>
      <c r="BA44" s="413"/>
      <c r="BB44" s="413"/>
      <c r="BC44" s="413"/>
      <c r="BD44" s="413"/>
      <c r="BE44" s="413"/>
      <c r="BF44" s="413"/>
      <c r="BG44" s="413"/>
      <c r="BH44" s="413"/>
      <c r="BI44" s="414"/>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F44" s="413"/>
      <c r="CG44" s="413"/>
      <c r="CH44" s="413"/>
      <c r="CI44" s="413"/>
      <c r="CJ44" s="413"/>
      <c r="CK44" s="413"/>
      <c r="CL44" s="413"/>
      <c r="CM44" s="414"/>
      <c r="CN44" s="413"/>
      <c r="CO44" s="413"/>
      <c r="CP44" s="413"/>
      <c r="CQ44" s="413"/>
      <c r="CR44" s="413"/>
      <c r="CS44" s="413"/>
      <c r="CT44" s="413"/>
      <c r="CU44" s="413"/>
      <c r="CV44" s="413"/>
      <c r="CW44" s="414"/>
      <c r="CX44" s="413"/>
      <c r="CY44" s="413"/>
      <c r="CZ44" s="413"/>
      <c r="DA44" s="413"/>
      <c r="DB44" s="413"/>
      <c r="DC44" s="413"/>
      <c r="DD44" s="413"/>
      <c r="DE44" s="413"/>
      <c r="DF44" s="413"/>
      <c r="DG44" s="414"/>
      <c r="DH44" s="413"/>
      <c r="DI44" s="413"/>
      <c r="DJ44" s="413"/>
      <c r="DK44" s="413"/>
      <c r="DL44" s="413"/>
      <c r="DM44" s="413"/>
      <c r="DN44" s="413"/>
      <c r="DO44" s="413"/>
      <c r="DP44" s="413"/>
      <c r="DQ44" s="414"/>
      <c r="DR44" s="413"/>
      <c r="DS44" s="413"/>
      <c r="DT44" s="413"/>
      <c r="DU44" s="413"/>
      <c r="DV44" s="413"/>
      <c r="DW44" s="413"/>
      <c r="DX44" s="413"/>
      <c r="DY44" s="413"/>
      <c r="DZ44" s="413"/>
      <c r="EA44" s="413"/>
      <c r="EB44" s="413"/>
      <c r="EC44" s="413"/>
      <c r="ED44" s="413"/>
      <c r="EE44" s="413"/>
      <c r="EF44" s="413"/>
      <c r="EG44" s="413"/>
      <c r="EH44" s="413"/>
      <c r="EI44" s="413"/>
      <c r="EJ44" s="413"/>
      <c r="EK44" s="413"/>
      <c r="EL44" s="413"/>
      <c r="EM44" s="452"/>
      <c r="EN44" s="413"/>
      <c r="EO44" s="453"/>
      <c r="EP44" s="413"/>
      <c r="EQ44" s="434"/>
      <c r="ER44" s="434"/>
      <c r="ES44" s="434"/>
      <c r="ET44" s="434"/>
      <c r="EU44" s="434"/>
      <c r="EV44" s="434"/>
      <c r="EW44" s="434"/>
      <c r="EX44" s="434"/>
      <c r="EY44" s="434"/>
      <c r="EZ44" s="434"/>
      <c r="FA44" s="434"/>
      <c r="FB44" s="434"/>
      <c r="FC44" s="399"/>
      <c r="FD44" s="399"/>
      <c r="FE44" s="399"/>
      <c r="FF44" s="399"/>
      <c r="FG44" s="415"/>
      <c r="FH44" s="415"/>
      <c r="FI44" s="415"/>
      <c r="FJ44" s="415"/>
      <c r="FK44" s="415"/>
      <c r="FL44" s="415"/>
      <c r="FM44" s="415"/>
    </row>
    <row r="45" spans="1:169" hidden="1">
      <c r="A45" s="410" t="s">
        <v>1321</v>
      </c>
      <c r="B45" s="459"/>
      <c r="C45" s="412"/>
      <c r="D45" s="412"/>
      <c r="E45" s="412"/>
      <c r="F45" s="412"/>
      <c r="G45" s="412"/>
      <c r="H45" s="412"/>
      <c r="I45" s="412"/>
      <c r="J45" s="412"/>
      <c r="K45" s="412"/>
      <c r="L45" s="412"/>
      <c r="M45" s="413"/>
      <c r="N45" s="413"/>
      <c r="O45" s="413"/>
      <c r="P45" s="413"/>
      <c r="Q45" s="413"/>
      <c r="R45" s="413"/>
      <c r="S45" s="413"/>
      <c r="T45" s="413"/>
      <c r="U45" s="413"/>
      <c r="V45" s="413"/>
      <c r="W45" s="413"/>
      <c r="X45" s="413"/>
      <c r="Y45" s="413"/>
      <c r="Z45" s="413"/>
      <c r="AA45" s="413"/>
      <c r="AB45" s="413"/>
      <c r="AC45" s="413"/>
      <c r="AD45" s="413"/>
      <c r="AE45" s="413"/>
      <c r="AF45" s="413"/>
      <c r="AG45" s="413"/>
      <c r="AH45" s="413"/>
      <c r="AI45" s="413"/>
      <c r="AJ45" s="413"/>
      <c r="AK45" s="413"/>
      <c r="AL45" s="413"/>
      <c r="AM45" s="413"/>
      <c r="AN45" s="413"/>
      <c r="AO45" s="414"/>
      <c r="AP45" s="413"/>
      <c r="AQ45" s="413"/>
      <c r="AR45" s="413"/>
      <c r="AS45" s="413"/>
      <c r="AT45" s="413"/>
      <c r="AU45" s="413"/>
      <c r="AV45" s="413"/>
      <c r="AW45" s="413"/>
      <c r="AX45" s="413"/>
      <c r="AY45" s="414"/>
      <c r="AZ45" s="413"/>
      <c r="BA45" s="413"/>
      <c r="BB45" s="413"/>
      <c r="BC45" s="413"/>
      <c r="BD45" s="413"/>
      <c r="BE45" s="413"/>
      <c r="BF45" s="413"/>
      <c r="BG45" s="413"/>
      <c r="BH45" s="413"/>
      <c r="BI45" s="414"/>
      <c r="BJ45" s="413"/>
      <c r="BK45" s="413"/>
      <c r="BL45" s="413"/>
      <c r="BM45" s="413"/>
      <c r="BN45" s="413"/>
      <c r="BO45" s="413"/>
      <c r="BP45" s="413"/>
      <c r="BQ45" s="413"/>
      <c r="BR45" s="413"/>
      <c r="BS45" s="413"/>
      <c r="BT45" s="413"/>
      <c r="BU45" s="413"/>
      <c r="BV45" s="413"/>
      <c r="BW45" s="413"/>
      <c r="BX45" s="413"/>
      <c r="BY45" s="413"/>
      <c r="BZ45" s="413"/>
      <c r="CA45" s="413"/>
      <c r="CB45" s="413"/>
      <c r="CC45" s="413"/>
      <c r="CD45" s="413"/>
      <c r="CE45" s="413"/>
      <c r="CF45" s="413"/>
      <c r="CG45" s="413"/>
      <c r="CH45" s="413"/>
      <c r="CI45" s="413"/>
      <c r="CJ45" s="413"/>
      <c r="CK45" s="413"/>
      <c r="CL45" s="413"/>
      <c r="CM45" s="414"/>
      <c r="CN45" s="413"/>
      <c r="CO45" s="413"/>
      <c r="CP45" s="413"/>
      <c r="CQ45" s="413"/>
      <c r="CR45" s="413"/>
      <c r="CS45" s="413"/>
      <c r="CT45" s="413"/>
      <c r="CU45" s="413"/>
      <c r="CV45" s="413"/>
      <c r="CW45" s="414"/>
      <c r="CX45" s="413"/>
      <c r="CY45" s="413"/>
      <c r="CZ45" s="413"/>
      <c r="DA45" s="413"/>
      <c r="DB45" s="413"/>
      <c r="DC45" s="413"/>
      <c r="DD45" s="413"/>
      <c r="DE45" s="413"/>
      <c r="DF45" s="413"/>
      <c r="DG45" s="414"/>
      <c r="DH45" s="413"/>
      <c r="DI45" s="413"/>
      <c r="DJ45" s="413"/>
      <c r="DK45" s="413"/>
      <c r="DL45" s="413"/>
      <c r="DM45" s="413"/>
      <c r="DN45" s="413"/>
      <c r="DO45" s="413"/>
      <c r="DP45" s="413"/>
      <c r="DQ45" s="414"/>
      <c r="DR45" s="413"/>
      <c r="DS45" s="413"/>
      <c r="DT45" s="413"/>
      <c r="DU45" s="413"/>
      <c r="DV45" s="413"/>
      <c r="DW45" s="413"/>
      <c r="DX45" s="413"/>
      <c r="DY45" s="413"/>
      <c r="DZ45" s="413"/>
      <c r="EA45" s="413"/>
      <c r="EB45" s="413"/>
      <c r="EC45" s="413"/>
      <c r="ED45" s="413"/>
      <c r="EE45" s="413"/>
      <c r="EF45" s="413"/>
      <c r="EG45" s="413"/>
      <c r="EH45" s="413"/>
      <c r="EI45" s="413"/>
      <c r="EJ45" s="413"/>
      <c r="EK45" s="413"/>
      <c r="EL45" s="413"/>
      <c r="EM45" s="452"/>
      <c r="EN45" s="413"/>
      <c r="EO45" s="453"/>
      <c r="EP45" s="413"/>
      <c r="EQ45" s="434"/>
      <c r="ER45" s="434"/>
      <c r="ES45" s="434"/>
      <c r="ET45" s="434"/>
      <c r="EU45" s="434"/>
      <c r="EV45" s="434"/>
      <c r="EW45" s="434"/>
      <c r="EX45" s="434"/>
      <c r="EY45" s="434"/>
      <c r="EZ45" s="434"/>
      <c r="FA45" s="434"/>
      <c r="FB45" s="434"/>
      <c r="FC45" s="399"/>
      <c r="FD45" s="399"/>
      <c r="FE45" s="399"/>
      <c r="FF45" s="399"/>
      <c r="FG45" s="415"/>
      <c r="FH45" s="415"/>
      <c r="FI45" s="415"/>
      <c r="FJ45" s="415"/>
      <c r="FK45" s="415"/>
      <c r="FL45" s="415"/>
      <c r="FM45" s="415"/>
    </row>
    <row r="46" spans="1:169" hidden="1">
      <c r="A46" s="410"/>
      <c r="B46" s="459" t="s">
        <v>672</v>
      </c>
      <c r="C46" s="412"/>
      <c r="D46" s="412"/>
      <c r="E46" s="412"/>
      <c r="F46" s="412"/>
      <c r="G46" s="412"/>
      <c r="H46" s="412"/>
      <c r="I46" s="412"/>
      <c r="J46" s="412"/>
      <c r="K46" s="412"/>
      <c r="L46" s="412"/>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3"/>
      <c r="AO46" s="414"/>
      <c r="AP46" s="413"/>
      <c r="AQ46" s="413"/>
      <c r="AR46" s="413"/>
      <c r="AS46" s="413"/>
      <c r="AT46" s="413"/>
      <c r="AU46" s="413"/>
      <c r="AV46" s="413"/>
      <c r="AW46" s="413"/>
      <c r="AX46" s="413"/>
      <c r="AY46" s="414"/>
      <c r="AZ46" s="413"/>
      <c r="BA46" s="413"/>
      <c r="BB46" s="413"/>
      <c r="BC46" s="413"/>
      <c r="BD46" s="413"/>
      <c r="BE46" s="413"/>
      <c r="BF46" s="413"/>
      <c r="BG46" s="413"/>
      <c r="BH46" s="413"/>
      <c r="BI46" s="414"/>
      <c r="BJ46" s="413"/>
      <c r="BK46" s="413"/>
      <c r="BL46" s="413"/>
      <c r="BM46" s="413"/>
      <c r="BN46" s="413"/>
      <c r="BO46" s="413"/>
      <c r="BP46" s="413"/>
      <c r="BQ46" s="413"/>
      <c r="BR46" s="413"/>
      <c r="BS46" s="413"/>
      <c r="BT46" s="413"/>
      <c r="BU46" s="413"/>
      <c r="BV46" s="413"/>
      <c r="BW46" s="413"/>
      <c r="BX46" s="413"/>
      <c r="BY46" s="413"/>
      <c r="BZ46" s="413"/>
      <c r="CA46" s="413"/>
      <c r="CB46" s="413"/>
      <c r="CC46" s="413"/>
      <c r="CD46" s="413"/>
      <c r="CE46" s="413"/>
      <c r="CF46" s="413"/>
      <c r="CG46" s="413"/>
      <c r="CH46" s="413"/>
      <c r="CI46" s="413"/>
      <c r="CJ46" s="413"/>
      <c r="CK46" s="413"/>
      <c r="CL46" s="413"/>
      <c r="CM46" s="414"/>
      <c r="CN46" s="413"/>
      <c r="CO46" s="413"/>
      <c r="CP46" s="413"/>
      <c r="CQ46" s="413"/>
      <c r="CR46" s="413"/>
      <c r="CS46" s="413"/>
      <c r="CT46" s="413"/>
      <c r="CU46" s="413"/>
      <c r="CV46" s="413"/>
      <c r="CW46" s="414"/>
      <c r="CX46" s="413"/>
      <c r="CY46" s="413"/>
      <c r="CZ46" s="413"/>
      <c r="DA46" s="413"/>
      <c r="DB46" s="413"/>
      <c r="DC46" s="413"/>
      <c r="DD46" s="413"/>
      <c r="DE46" s="413"/>
      <c r="DF46" s="413"/>
      <c r="DG46" s="414"/>
      <c r="DH46" s="413"/>
      <c r="DI46" s="413"/>
      <c r="DJ46" s="413"/>
      <c r="DK46" s="413"/>
      <c r="DL46" s="413"/>
      <c r="DM46" s="413"/>
      <c r="DN46" s="413"/>
      <c r="DO46" s="413"/>
      <c r="DP46" s="413"/>
      <c r="DQ46" s="414"/>
      <c r="DR46" s="413"/>
      <c r="DS46" s="413"/>
      <c r="DT46" s="413"/>
      <c r="DU46" s="413"/>
      <c r="DV46" s="413"/>
      <c r="DW46" s="413"/>
      <c r="DX46" s="413"/>
      <c r="DY46" s="413"/>
      <c r="DZ46" s="413"/>
      <c r="EA46" s="413"/>
      <c r="EB46" s="413"/>
      <c r="EC46" s="413"/>
      <c r="ED46" s="413"/>
      <c r="EE46" s="413"/>
      <c r="EF46" s="413"/>
      <c r="EG46" s="413"/>
      <c r="EH46" s="413"/>
      <c r="EI46" s="413"/>
      <c r="EJ46" s="413"/>
      <c r="EK46" s="413"/>
      <c r="EL46" s="413"/>
      <c r="EM46" s="452"/>
      <c r="EN46" s="413"/>
      <c r="EO46" s="453"/>
      <c r="EP46" s="413"/>
      <c r="EQ46" s="434"/>
      <c r="ER46" s="434"/>
      <c r="ES46" s="434"/>
      <c r="ET46" s="434"/>
      <c r="EU46" s="434"/>
      <c r="EV46" s="434"/>
      <c r="EW46" s="434"/>
      <c r="EX46" s="434"/>
      <c r="EY46" s="434"/>
      <c r="EZ46" s="434"/>
      <c r="FA46" s="434"/>
      <c r="FB46" s="434"/>
      <c r="FC46" s="399"/>
      <c r="FD46" s="399"/>
      <c r="FE46" s="399"/>
      <c r="FF46" s="399"/>
      <c r="FG46" s="415"/>
      <c r="FH46" s="415"/>
      <c r="FI46" s="415"/>
      <c r="FJ46" s="415"/>
      <c r="FK46" s="415"/>
      <c r="FL46" s="415"/>
      <c r="FM46" s="415"/>
    </row>
    <row r="47" spans="1:169" hidden="1">
      <c r="A47" s="410"/>
      <c r="B47" s="459"/>
      <c r="C47" s="412"/>
      <c r="D47" s="412"/>
      <c r="E47" s="412"/>
      <c r="F47" s="412"/>
      <c r="G47" s="412"/>
      <c r="H47" s="412"/>
      <c r="I47" s="412"/>
      <c r="J47" s="412"/>
      <c r="K47" s="412"/>
      <c r="L47" s="412"/>
      <c r="M47" s="413"/>
      <c r="N47" s="413"/>
      <c r="O47" s="413"/>
      <c r="P47" s="413"/>
      <c r="Q47" s="413"/>
      <c r="R47" s="413"/>
      <c r="S47" s="413"/>
      <c r="T47" s="413"/>
      <c r="U47" s="413"/>
      <c r="V47" s="413"/>
      <c r="W47" s="413"/>
      <c r="X47" s="413"/>
      <c r="Y47" s="413"/>
      <c r="Z47" s="413"/>
      <c r="AA47" s="413"/>
      <c r="AB47" s="413"/>
      <c r="AC47" s="413"/>
      <c r="AD47" s="413"/>
      <c r="AE47" s="413"/>
      <c r="AF47" s="413"/>
      <c r="AG47" s="413"/>
      <c r="AH47" s="413"/>
      <c r="AI47" s="413"/>
      <c r="AJ47" s="413"/>
      <c r="AK47" s="413"/>
      <c r="AL47" s="413"/>
      <c r="AM47" s="413"/>
      <c r="AN47" s="413"/>
      <c r="AO47" s="414"/>
      <c r="AP47" s="413"/>
      <c r="AQ47" s="413"/>
      <c r="AR47" s="413"/>
      <c r="AS47" s="413"/>
      <c r="AT47" s="413"/>
      <c r="AU47" s="413"/>
      <c r="AV47" s="413"/>
      <c r="AW47" s="413"/>
      <c r="AX47" s="413"/>
      <c r="AY47" s="414"/>
      <c r="AZ47" s="413"/>
      <c r="BA47" s="413"/>
      <c r="BB47" s="413"/>
      <c r="BC47" s="413"/>
      <c r="BD47" s="413"/>
      <c r="BE47" s="413"/>
      <c r="BF47" s="413"/>
      <c r="BG47" s="413"/>
      <c r="BH47" s="413"/>
      <c r="BI47" s="414"/>
      <c r="BJ47" s="413"/>
      <c r="BK47" s="413"/>
      <c r="BL47" s="413"/>
      <c r="BM47" s="413"/>
      <c r="BN47" s="413"/>
      <c r="BO47" s="413"/>
      <c r="BP47" s="413"/>
      <c r="BQ47" s="413"/>
      <c r="BR47" s="413"/>
      <c r="BS47" s="413"/>
      <c r="BT47" s="413"/>
      <c r="BU47" s="413"/>
      <c r="BV47" s="413"/>
      <c r="BW47" s="413"/>
      <c r="BX47" s="413"/>
      <c r="BY47" s="413"/>
      <c r="BZ47" s="413"/>
      <c r="CA47" s="413"/>
      <c r="CB47" s="413"/>
      <c r="CC47" s="413"/>
      <c r="CD47" s="413"/>
      <c r="CE47" s="413"/>
      <c r="CF47" s="413"/>
      <c r="CG47" s="413"/>
      <c r="CH47" s="413"/>
      <c r="CI47" s="413"/>
      <c r="CJ47" s="413"/>
      <c r="CK47" s="413"/>
      <c r="CL47" s="413"/>
      <c r="CM47" s="414"/>
      <c r="CN47" s="413"/>
      <c r="CO47" s="413"/>
      <c r="CP47" s="413"/>
      <c r="CQ47" s="413"/>
      <c r="CR47" s="413"/>
      <c r="CS47" s="413"/>
      <c r="CT47" s="413"/>
      <c r="CU47" s="413"/>
      <c r="CV47" s="413"/>
      <c r="CW47" s="414"/>
      <c r="CX47" s="413"/>
      <c r="CY47" s="413"/>
      <c r="CZ47" s="413"/>
      <c r="DA47" s="413"/>
      <c r="DB47" s="413"/>
      <c r="DC47" s="413"/>
      <c r="DD47" s="413"/>
      <c r="DE47" s="413"/>
      <c r="DF47" s="413"/>
      <c r="DG47" s="414"/>
      <c r="DH47" s="413"/>
      <c r="DI47" s="413"/>
      <c r="DJ47" s="413"/>
      <c r="DK47" s="413"/>
      <c r="DL47" s="413"/>
      <c r="DM47" s="413"/>
      <c r="DN47" s="413"/>
      <c r="DO47" s="413"/>
      <c r="DP47" s="413"/>
      <c r="DQ47" s="414"/>
      <c r="DR47" s="413"/>
      <c r="DS47" s="413"/>
      <c r="DT47" s="413"/>
      <c r="DU47" s="413"/>
      <c r="DV47" s="413"/>
      <c r="DW47" s="413"/>
      <c r="DX47" s="413"/>
      <c r="DY47" s="413"/>
      <c r="DZ47" s="413"/>
      <c r="EA47" s="413"/>
      <c r="EB47" s="413"/>
      <c r="EC47" s="413"/>
      <c r="ED47" s="413"/>
      <c r="EE47" s="413"/>
      <c r="EF47" s="413"/>
      <c r="EG47" s="413"/>
      <c r="EH47" s="413"/>
      <c r="EI47" s="413"/>
      <c r="EJ47" s="413"/>
      <c r="EK47" s="413"/>
      <c r="EL47" s="413"/>
      <c r="EM47" s="452"/>
      <c r="EN47" s="413"/>
      <c r="EO47" s="453"/>
      <c r="EP47" s="413"/>
      <c r="EQ47" s="434"/>
      <c r="ER47" s="434"/>
      <c r="ES47" s="434"/>
      <c r="ET47" s="434"/>
      <c r="EU47" s="434"/>
      <c r="EV47" s="434"/>
      <c r="EW47" s="434"/>
      <c r="EX47" s="434"/>
      <c r="EY47" s="434"/>
      <c r="EZ47" s="434"/>
      <c r="FA47" s="434"/>
      <c r="FB47" s="434"/>
      <c r="FC47" s="399"/>
      <c r="FD47" s="399"/>
      <c r="FE47" s="399"/>
      <c r="FF47" s="399"/>
      <c r="FG47" s="415"/>
      <c r="FH47" s="415"/>
      <c r="FI47" s="415"/>
      <c r="FJ47" s="415"/>
      <c r="FK47" s="415"/>
      <c r="FL47" s="415"/>
      <c r="FM47" s="415"/>
    </row>
    <row r="48" spans="1:169" hidden="1">
      <c r="A48" s="410"/>
      <c r="B48" s="57" t="s">
        <v>153</v>
      </c>
      <c r="C48" s="412"/>
      <c r="D48" s="412"/>
      <c r="E48" s="412"/>
      <c r="F48" s="412"/>
      <c r="G48" s="412"/>
      <c r="H48" s="412"/>
      <c r="I48" s="412"/>
      <c r="J48" s="412"/>
      <c r="K48" s="412"/>
      <c r="L48" s="412"/>
      <c r="M48" s="413"/>
      <c r="N48" s="413"/>
      <c r="O48" s="413"/>
      <c r="P48" s="413"/>
      <c r="Q48" s="413"/>
      <c r="R48" s="413"/>
      <c r="S48" s="413"/>
      <c r="T48" s="413"/>
      <c r="U48" s="413"/>
      <c r="V48" s="413"/>
      <c r="W48" s="413"/>
      <c r="X48" s="413"/>
      <c r="Y48" s="413"/>
      <c r="Z48" s="413"/>
      <c r="AA48" s="413"/>
      <c r="AB48" s="413"/>
      <c r="AC48" s="413"/>
      <c r="AD48" s="413"/>
      <c r="AE48" s="413"/>
      <c r="AF48" s="413"/>
      <c r="AG48" s="413"/>
      <c r="AH48" s="413"/>
      <c r="AI48" s="413"/>
      <c r="AJ48" s="413"/>
      <c r="AK48" s="413"/>
      <c r="AL48" s="413"/>
      <c r="AM48" s="413"/>
      <c r="AN48" s="413"/>
      <c r="AO48" s="414"/>
      <c r="AP48" s="413"/>
      <c r="AQ48" s="413"/>
      <c r="AR48" s="413"/>
      <c r="AS48" s="413"/>
      <c r="AT48" s="413"/>
      <c r="AU48" s="413"/>
      <c r="AV48" s="413"/>
      <c r="AW48" s="413"/>
      <c r="AX48" s="413"/>
      <c r="AY48" s="414"/>
      <c r="AZ48" s="413"/>
      <c r="BA48" s="413"/>
      <c r="BB48" s="413"/>
      <c r="BC48" s="413"/>
      <c r="BD48" s="413"/>
      <c r="BE48" s="413"/>
      <c r="BF48" s="413"/>
      <c r="BG48" s="413"/>
      <c r="BH48" s="413"/>
      <c r="BI48" s="414"/>
      <c r="BJ48" s="413"/>
      <c r="BK48" s="413"/>
      <c r="BL48" s="413"/>
      <c r="BM48" s="413"/>
      <c r="BN48" s="413"/>
      <c r="BO48" s="413"/>
      <c r="BP48" s="413"/>
      <c r="BQ48" s="413"/>
      <c r="BR48" s="413"/>
      <c r="BS48" s="413"/>
      <c r="BT48" s="413"/>
      <c r="BU48" s="413"/>
      <c r="BV48" s="413"/>
      <c r="BW48" s="413"/>
      <c r="BX48" s="413"/>
      <c r="BY48" s="413"/>
      <c r="BZ48" s="413"/>
      <c r="CA48" s="413"/>
      <c r="CB48" s="413"/>
      <c r="CC48" s="413"/>
      <c r="CD48" s="413"/>
      <c r="CE48" s="413"/>
      <c r="CF48" s="413"/>
      <c r="CG48" s="413"/>
      <c r="CH48" s="413"/>
      <c r="CI48" s="413"/>
      <c r="CJ48" s="413"/>
      <c r="CK48" s="413"/>
      <c r="CL48" s="413"/>
      <c r="CM48" s="414"/>
      <c r="CN48" s="413"/>
      <c r="CO48" s="413"/>
      <c r="CP48" s="413"/>
      <c r="CQ48" s="413"/>
      <c r="CR48" s="413"/>
      <c r="CS48" s="413"/>
      <c r="CT48" s="413"/>
      <c r="CU48" s="413"/>
      <c r="CV48" s="413"/>
      <c r="CW48" s="414"/>
      <c r="CX48" s="413"/>
      <c r="CY48" s="413"/>
      <c r="CZ48" s="413"/>
      <c r="DA48" s="413"/>
      <c r="DB48" s="413"/>
      <c r="DC48" s="413"/>
      <c r="DD48" s="413"/>
      <c r="DE48" s="413"/>
      <c r="DF48" s="413"/>
      <c r="DG48" s="414"/>
      <c r="DH48" s="413"/>
      <c r="DI48" s="413"/>
      <c r="DJ48" s="413"/>
      <c r="DK48" s="413"/>
      <c r="DL48" s="413"/>
      <c r="DM48" s="413"/>
      <c r="DN48" s="413"/>
      <c r="DO48" s="413"/>
      <c r="DP48" s="413"/>
      <c r="DQ48" s="414"/>
      <c r="DR48" s="413"/>
      <c r="DS48" s="413"/>
      <c r="DT48" s="413"/>
      <c r="DU48" s="413"/>
      <c r="DV48" s="413"/>
      <c r="DW48" s="413"/>
      <c r="DX48" s="413"/>
      <c r="DY48" s="413"/>
      <c r="DZ48" s="413"/>
      <c r="EA48" s="413"/>
      <c r="EB48" s="413"/>
      <c r="EC48" s="413"/>
      <c r="ED48" s="413"/>
      <c r="EE48" s="413"/>
      <c r="EF48" s="413"/>
      <c r="EG48" s="413"/>
      <c r="EH48" s="413"/>
      <c r="EI48" s="413"/>
      <c r="EJ48" s="413"/>
      <c r="EK48" s="413"/>
      <c r="EL48" s="413"/>
      <c r="EM48" s="452"/>
      <c r="EN48" s="413"/>
      <c r="EO48" s="453"/>
      <c r="EP48" s="413"/>
      <c r="EQ48" s="434"/>
      <c r="ER48" s="434"/>
      <c r="ES48" s="434"/>
      <c r="ET48" s="434"/>
      <c r="EU48" s="434"/>
      <c r="EV48" s="434"/>
      <c r="EW48" s="434"/>
      <c r="EX48" s="434"/>
      <c r="EY48" s="434"/>
      <c r="EZ48" s="434"/>
      <c r="FA48" s="434"/>
      <c r="FB48" s="434"/>
      <c r="FC48" s="399"/>
      <c r="FD48" s="399"/>
      <c r="FE48" s="399"/>
      <c r="FF48" s="399"/>
      <c r="FG48" s="415"/>
      <c r="FH48" s="415"/>
      <c r="FI48" s="415"/>
      <c r="FJ48" s="415"/>
      <c r="FK48" s="415"/>
      <c r="FL48" s="415"/>
      <c r="FM48" s="415"/>
    </row>
    <row r="49" spans="1:169" hidden="1">
      <c r="A49" s="410"/>
      <c r="B49" s="57"/>
      <c r="C49" s="412"/>
      <c r="D49" s="412"/>
      <c r="E49" s="412"/>
      <c r="F49" s="412"/>
      <c r="G49" s="412"/>
      <c r="H49" s="412"/>
      <c r="I49" s="412"/>
      <c r="J49" s="412"/>
      <c r="K49" s="412"/>
      <c r="L49" s="412"/>
      <c r="M49" s="413"/>
      <c r="N49" s="413"/>
      <c r="O49" s="413"/>
      <c r="P49" s="413"/>
      <c r="Q49" s="413"/>
      <c r="R49" s="413"/>
      <c r="S49" s="413"/>
      <c r="T49" s="413"/>
      <c r="U49" s="413"/>
      <c r="V49" s="413"/>
      <c r="W49" s="413"/>
      <c r="X49" s="413"/>
      <c r="Y49" s="413"/>
      <c r="Z49" s="413"/>
      <c r="AA49" s="413"/>
      <c r="AB49" s="413"/>
      <c r="AC49" s="413"/>
      <c r="AD49" s="413"/>
      <c r="AE49" s="413"/>
      <c r="AF49" s="413"/>
      <c r="AG49" s="413"/>
      <c r="AH49" s="413"/>
      <c r="AI49" s="413"/>
      <c r="AJ49" s="413"/>
      <c r="AK49" s="413"/>
      <c r="AL49" s="413"/>
      <c r="AM49" s="413"/>
      <c r="AN49" s="413"/>
      <c r="AO49" s="414"/>
      <c r="AP49" s="413"/>
      <c r="AQ49" s="413"/>
      <c r="AR49" s="413"/>
      <c r="AS49" s="413"/>
      <c r="AT49" s="413"/>
      <c r="AU49" s="413"/>
      <c r="AV49" s="413"/>
      <c r="AW49" s="413"/>
      <c r="AX49" s="413"/>
      <c r="AY49" s="414"/>
      <c r="AZ49" s="413"/>
      <c r="BA49" s="413"/>
      <c r="BB49" s="413"/>
      <c r="BC49" s="413"/>
      <c r="BD49" s="413"/>
      <c r="BE49" s="413"/>
      <c r="BF49" s="413"/>
      <c r="BG49" s="413"/>
      <c r="BH49" s="413"/>
      <c r="BI49" s="414"/>
      <c r="BJ49" s="413"/>
      <c r="BK49" s="413"/>
      <c r="BL49" s="413"/>
      <c r="BM49" s="413"/>
      <c r="BN49" s="413"/>
      <c r="BO49" s="413"/>
      <c r="BP49" s="413"/>
      <c r="BQ49" s="413"/>
      <c r="BR49" s="413"/>
      <c r="BS49" s="413"/>
      <c r="BT49" s="413"/>
      <c r="BU49" s="413"/>
      <c r="BV49" s="413"/>
      <c r="BW49" s="413"/>
      <c r="BX49" s="413"/>
      <c r="BY49" s="413"/>
      <c r="BZ49" s="413"/>
      <c r="CA49" s="413"/>
      <c r="CB49" s="413"/>
      <c r="CC49" s="413"/>
      <c r="CD49" s="413"/>
      <c r="CE49" s="413"/>
      <c r="CF49" s="413"/>
      <c r="CG49" s="413"/>
      <c r="CH49" s="413"/>
      <c r="CI49" s="413"/>
      <c r="CJ49" s="413"/>
      <c r="CK49" s="413"/>
      <c r="CL49" s="413"/>
      <c r="CM49" s="414"/>
      <c r="CN49" s="413"/>
      <c r="CO49" s="413"/>
      <c r="CP49" s="413"/>
      <c r="CQ49" s="413"/>
      <c r="CR49" s="413"/>
      <c r="CS49" s="413"/>
      <c r="CT49" s="413"/>
      <c r="CU49" s="413"/>
      <c r="CV49" s="413"/>
      <c r="CW49" s="414"/>
      <c r="CX49" s="413"/>
      <c r="CY49" s="413"/>
      <c r="CZ49" s="413"/>
      <c r="DA49" s="413"/>
      <c r="DB49" s="413"/>
      <c r="DC49" s="413"/>
      <c r="DD49" s="413"/>
      <c r="DE49" s="413"/>
      <c r="DF49" s="413"/>
      <c r="DG49" s="414"/>
      <c r="DH49" s="413"/>
      <c r="DI49" s="413"/>
      <c r="DJ49" s="413"/>
      <c r="DK49" s="413"/>
      <c r="DL49" s="413"/>
      <c r="DM49" s="413"/>
      <c r="DN49" s="413"/>
      <c r="DO49" s="413"/>
      <c r="DP49" s="413"/>
      <c r="DQ49" s="414"/>
      <c r="DR49" s="413"/>
      <c r="DS49" s="413"/>
      <c r="DT49" s="413"/>
      <c r="DU49" s="413"/>
      <c r="DV49" s="413"/>
      <c r="DW49" s="413"/>
      <c r="DX49" s="413"/>
      <c r="DY49" s="413"/>
      <c r="DZ49" s="413"/>
      <c r="EA49" s="413"/>
      <c r="EB49" s="413"/>
      <c r="EC49" s="413"/>
      <c r="ED49" s="413"/>
      <c r="EE49" s="413"/>
      <c r="EF49" s="413"/>
      <c r="EG49" s="413"/>
      <c r="EH49" s="413"/>
      <c r="EI49" s="413"/>
      <c r="EJ49" s="413"/>
      <c r="EK49" s="413"/>
      <c r="EL49" s="413"/>
      <c r="EM49" s="452"/>
      <c r="EN49" s="413"/>
      <c r="EO49" s="453"/>
      <c r="EP49" s="413"/>
      <c r="EQ49" s="434"/>
      <c r="ER49" s="434"/>
      <c r="ES49" s="434"/>
      <c r="ET49" s="434"/>
      <c r="EU49" s="434"/>
      <c r="EV49" s="434"/>
      <c r="EW49" s="434"/>
      <c r="EX49" s="434"/>
      <c r="EY49" s="434"/>
      <c r="EZ49" s="434"/>
      <c r="FA49" s="434"/>
      <c r="FB49" s="434"/>
      <c r="FC49" s="399"/>
      <c r="FD49" s="399"/>
      <c r="FE49" s="399"/>
      <c r="FF49" s="399"/>
      <c r="FG49" s="415"/>
      <c r="FH49" s="415"/>
      <c r="FI49" s="415"/>
      <c r="FJ49" s="415"/>
      <c r="FK49" s="415"/>
      <c r="FL49" s="415"/>
      <c r="FM49" s="415"/>
    </row>
    <row r="50" spans="1:169" hidden="1">
      <c r="A50" s="462" t="s">
        <v>16</v>
      </c>
      <c r="B50" s="57" t="s">
        <v>1322</v>
      </c>
      <c r="C50" s="412"/>
      <c r="D50" s="412"/>
      <c r="E50" s="412"/>
      <c r="F50" s="412"/>
      <c r="G50" s="412"/>
      <c r="H50" s="412"/>
      <c r="I50" s="412"/>
      <c r="J50" s="412"/>
      <c r="K50" s="412"/>
      <c r="L50" s="412"/>
      <c r="M50" s="413"/>
      <c r="N50" s="413"/>
      <c r="O50" s="413"/>
      <c r="P50" s="413"/>
      <c r="Q50" s="413"/>
      <c r="R50" s="413"/>
      <c r="S50" s="413"/>
      <c r="T50" s="413"/>
      <c r="U50" s="413"/>
      <c r="V50" s="413"/>
      <c r="W50" s="413"/>
      <c r="X50" s="413"/>
      <c r="Y50" s="413"/>
      <c r="Z50" s="413"/>
      <c r="AA50" s="413"/>
      <c r="AB50" s="413"/>
      <c r="AC50" s="413"/>
      <c r="AD50" s="413"/>
      <c r="AE50" s="413"/>
      <c r="AF50" s="413"/>
      <c r="AG50" s="413"/>
      <c r="AH50" s="413"/>
      <c r="AI50" s="413"/>
      <c r="AJ50" s="413"/>
      <c r="AK50" s="413"/>
      <c r="AL50" s="413"/>
      <c r="AM50" s="413"/>
      <c r="AN50" s="413"/>
      <c r="AO50" s="414"/>
      <c r="AP50" s="413"/>
      <c r="AQ50" s="413"/>
      <c r="AR50" s="413"/>
      <c r="AS50" s="413"/>
      <c r="AT50" s="413"/>
      <c r="AU50" s="413"/>
      <c r="AV50" s="413"/>
      <c r="AW50" s="413"/>
      <c r="AX50" s="413"/>
      <c r="AY50" s="414"/>
      <c r="AZ50" s="413"/>
      <c r="BA50" s="413"/>
      <c r="BB50" s="413"/>
      <c r="BC50" s="413"/>
      <c r="BD50" s="413"/>
      <c r="BE50" s="413"/>
      <c r="BF50" s="413"/>
      <c r="BG50" s="413"/>
      <c r="BH50" s="413"/>
      <c r="BI50" s="414"/>
      <c r="BJ50" s="413"/>
      <c r="BK50" s="413"/>
      <c r="BL50" s="413"/>
      <c r="BM50" s="413"/>
      <c r="BN50" s="413"/>
      <c r="BO50" s="413"/>
      <c r="BP50" s="413"/>
      <c r="BQ50" s="413"/>
      <c r="BR50" s="413"/>
      <c r="BS50" s="413"/>
      <c r="BT50" s="413"/>
      <c r="BU50" s="413"/>
      <c r="BV50" s="413"/>
      <c r="BW50" s="413"/>
      <c r="BX50" s="413"/>
      <c r="BY50" s="413"/>
      <c r="BZ50" s="413"/>
      <c r="CA50" s="413"/>
      <c r="CB50" s="413"/>
      <c r="CC50" s="413"/>
      <c r="CD50" s="413"/>
      <c r="CE50" s="413"/>
      <c r="CF50" s="413"/>
      <c r="CG50" s="413"/>
      <c r="CH50" s="413"/>
      <c r="CI50" s="413"/>
      <c r="CJ50" s="413"/>
      <c r="CK50" s="413"/>
      <c r="CL50" s="413"/>
      <c r="CM50" s="414"/>
      <c r="CN50" s="413"/>
      <c r="CO50" s="413"/>
      <c r="CP50" s="413"/>
      <c r="CQ50" s="413"/>
      <c r="CR50" s="413"/>
      <c r="CS50" s="413"/>
      <c r="CT50" s="413"/>
      <c r="CU50" s="413"/>
      <c r="CV50" s="413"/>
      <c r="CW50" s="414"/>
      <c r="CX50" s="413"/>
      <c r="CY50" s="413"/>
      <c r="CZ50" s="413"/>
      <c r="DA50" s="413"/>
      <c r="DB50" s="413"/>
      <c r="DC50" s="413"/>
      <c r="DD50" s="413"/>
      <c r="DE50" s="413"/>
      <c r="DF50" s="413"/>
      <c r="DG50" s="414"/>
      <c r="DH50" s="413"/>
      <c r="DI50" s="413"/>
      <c r="DJ50" s="413"/>
      <c r="DK50" s="413"/>
      <c r="DL50" s="413"/>
      <c r="DM50" s="413"/>
      <c r="DN50" s="413"/>
      <c r="DO50" s="413"/>
      <c r="DP50" s="413"/>
      <c r="DQ50" s="414"/>
      <c r="DR50" s="413"/>
      <c r="DS50" s="413"/>
      <c r="DT50" s="413"/>
      <c r="DU50" s="413"/>
      <c r="DV50" s="413"/>
      <c r="DW50" s="413"/>
      <c r="DX50" s="413"/>
      <c r="DY50" s="413"/>
      <c r="DZ50" s="413"/>
      <c r="EA50" s="413"/>
      <c r="EB50" s="413"/>
      <c r="EC50" s="413"/>
      <c r="ED50" s="413"/>
      <c r="EE50" s="413"/>
      <c r="EF50" s="413"/>
      <c r="EG50" s="413"/>
      <c r="EH50" s="413"/>
      <c r="EI50" s="413"/>
      <c r="EJ50" s="413"/>
      <c r="EK50" s="413"/>
      <c r="EL50" s="413"/>
      <c r="EM50" s="452"/>
      <c r="EN50" s="413"/>
      <c r="EO50" s="453"/>
      <c r="EP50" s="413"/>
      <c r="EQ50" s="434"/>
      <c r="ER50" s="434"/>
      <c r="ES50" s="434"/>
      <c r="ET50" s="434"/>
      <c r="EU50" s="434"/>
      <c r="EV50" s="434"/>
      <c r="EW50" s="434"/>
      <c r="EX50" s="434"/>
      <c r="EY50" s="434"/>
      <c r="EZ50" s="434"/>
      <c r="FA50" s="434"/>
      <c r="FB50" s="434"/>
      <c r="FC50" s="399"/>
      <c r="FD50" s="399"/>
      <c r="FE50" s="399"/>
      <c r="FF50" s="399"/>
      <c r="FG50" s="415"/>
      <c r="FH50" s="415"/>
      <c r="FI50" s="415"/>
      <c r="FJ50" s="415"/>
      <c r="FK50" s="415"/>
      <c r="FL50" s="415"/>
      <c r="FM50" s="415"/>
    </row>
    <row r="51" spans="1:169" hidden="1">
      <c r="A51" s="410" t="s">
        <v>82</v>
      </c>
      <c r="B51" s="459" t="s">
        <v>1323</v>
      </c>
      <c r="C51" s="412"/>
      <c r="D51" s="412"/>
      <c r="E51" s="412"/>
      <c r="F51" s="412"/>
      <c r="G51" s="412"/>
      <c r="H51" s="412"/>
      <c r="I51" s="412"/>
      <c r="J51" s="412"/>
      <c r="K51" s="412"/>
      <c r="L51" s="412"/>
      <c r="M51" s="413"/>
      <c r="N51" s="413"/>
      <c r="O51" s="413"/>
      <c r="P51" s="413"/>
      <c r="Q51" s="413"/>
      <c r="R51" s="413"/>
      <c r="S51" s="413"/>
      <c r="T51" s="413"/>
      <c r="U51" s="413"/>
      <c r="V51" s="413"/>
      <c r="W51" s="413"/>
      <c r="X51" s="413"/>
      <c r="Y51" s="413"/>
      <c r="Z51" s="413"/>
      <c r="AA51" s="413"/>
      <c r="AB51" s="413"/>
      <c r="AC51" s="413"/>
      <c r="AD51" s="413"/>
      <c r="AE51" s="413"/>
      <c r="AF51" s="413"/>
      <c r="AG51" s="413"/>
      <c r="AH51" s="413"/>
      <c r="AI51" s="413"/>
      <c r="AJ51" s="413"/>
      <c r="AK51" s="413"/>
      <c r="AL51" s="413"/>
      <c r="AM51" s="413"/>
      <c r="AN51" s="413"/>
      <c r="AO51" s="414"/>
      <c r="AP51" s="413"/>
      <c r="AQ51" s="413"/>
      <c r="AR51" s="413"/>
      <c r="AS51" s="413"/>
      <c r="AT51" s="413"/>
      <c r="AU51" s="413"/>
      <c r="AV51" s="413"/>
      <c r="AW51" s="413"/>
      <c r="AX51" s="413"/>
      <c r="AY51" s="414"/>
      <c r="AZ51" s="413"/>
      <c r="BA51" s="413"/>
      <c r="BB51" s="413"/>
      <c r="BC51" s="413"/>
      <c r="BD51" s="413"/>
      <c r="BE51" s="413"/>
      <c r="BF51" s="413"/>
      <c r="BG51" s="413"/>
      <c r="BH51" s="413"/>
      <c r="BI51" s="414"/>
      <c r="BJ51" s="413"/>
      <c r="BK51" s="413"/>
      <c r="BL51" s="413"/>
      <c r="BM51" s="413"/>
      <c r="BN51" s="413"/>
      <c r="BO51" s="413"/>
      <c r="BP51" s="413"/>
      <c r="BQ51" s="413"/>
      <c r="BR51" s="413"/>
      <c r="BS51" s="413"/>
      <c r="BT51" s="413"/>
      <c r="BU51" s="413"/>
      <c r="BV51" s="413"/>
      <c r="BW51" s="413"/>
      <c r="BX51" s="413"/>
      <c r="BY51" s="413"/>
      <c r="BZ51" s="413"/>
      <c r="CA51" s="413"/>
      <c r="CB51" s="413"/>
      <c r="CC51" s="413"/>
      <c r="CD51" s="413"/>
      <c r="CE51" s="413"/>
      <c r="CF51" s="413"/>
      <c r="CG51" s="413"/>
      <c r="CH51" s="413"/>
      <c r="CI51" s="413"/>
      <c r="CJ51" s="413"/>
      <c r="CK51" s="413"/>
      <c r="CL51" s="413"/>
      <c r="CM51" s="414"/>
      <c r="CN51" s="413"/>
      <c r="CO51" s="413"/>
      <c r="CP51" s="413"/>
      <c r="CQ51" s="413"/>
      <c r="CR51" s="413"/>
      <c r="CS51" s="413"/>
      <c r="CT51" s="413"/>
      <c r="CU51" s="413"/>
      <c r="CV51" s="413"/>
      <c r="CW51" s="414"/>
      <c r="CX51" s="413"/>
      <c r="CY51" s="413"/>
      <c r="CZ51" s="413"/>
      <c r="DA51" s="413"/>
      <c r="DB51" s="413"/>
      <c r="DC51" s="413"/>
      <c r="DD51" s="413"/>
      <c r="DE51" s="413"/>
      <c r="DF51" s="413"/>
      <c r="DG51" s="414"/>
      <c r="DH51" s="413"/>
      <c r="DI51" s="413"/>
      <c r="DJ51" s="413"/>
      <c r="DK51" s="413"/>
      <c r="DL51" s="413"/>
      <c r="DM51" s="413"/>
      <c r="DN51" s="413"/>
      <c r="DO51" s="413"/>
      <c r="DP51" s="413"/>
      <c r="DQ51" s="414"/>
      <c r="DR51" s="413"/>
      <c r="DS51" s="413"/>
      <c r="DT51" s="413"/>
      <c r="DU51" s="413"/>
      <c r="DV51" s="413"/>
      <c r="DW51" s="413"/>
      <c r="DX51" s="413"/>
      <c r="DY51" s="413"/>
      <c r="DZ51" s="413"/>
      <c r="EA51" s="413"/>
      <c r="EB51" s="413"/>
      <c r="EC51" s="413"/>
      <c r="ED51" s="413"/>
      <c r="EE51" s="413"/>
      <c r="EF51" s="413"/>
      <c r="EG51" s="413"/>
      <c r="EH51" s="413"/>
      <c r="EI51" s="413"/>
      <c r="EJ51" s="413"/>
      <c r="EK51" s="413"/>
      <c r="EL51" s="413"/>
      <c r="EM51" s="452"/>
      <c r="EN51" s="413"/>
      <c r="EO51" s="453"/>
      <c r="EP51" s="413"/>
      <c r="EQ51" s="434"/>
      <c r="ER51" s="434"/>
      <c r="ES51" s="434"/>
      <c r="ET51" s="434"/>
      <c r="EU51" s="434"/>
      <c r="EV51" s="434"/>
      <c r="EW51" s="434"/>
      <c r="EX51" s="434"/>
      <c r="EY51" s="434"/>
      <c r="EZ51" s="434"/>
      <c r="FA51" s="434"/>
      <c r="FB51" s="434"/>
      <c r="FC51" s="399"/>
      <c r="FD51" s="399"/>
      <c r="FE51" s="399"/>
      <c r="FF51" s="399"/>
      <c r="FG51" s="415"/>
      <c r="FH51" s="415"/>
      <c r="FI51" s="415"/>
      <c r="FJ51" s="415"/>
      <c r="FK51" s="415"/>
      <c r="FL51" s="415"/>
      <c r="FM51" s="415"/>
    </row>
    <row r="52" spans="1:169" hidden="1">
      <c r="A52" s="410" t="s">
        <v>83</v>
      </c>
      <c r="B52" s="459" t="s">
        <v>1324</v>
      </c>
      <c r="C52" s="412"/>
      <c r="D52" s="412"/>
      <c r="E52" s="412"/>
      <c r="F52" s="412"/>
      <c r="G52" s="412"/>
      <c r="H52" s="412"/>
      <c r="I52" s="412"/>
      <c r="J52" s="412"/>
      <c r="K52" s="412"/>
      <c r="L52" s="412"/>
      <c r="M52" s="413"/>
      <c r="N52" s="413"/>
      <c r="O52" s="413"/>
      <c r="P52" s="413"/>
      <c r="Q52" s="413"/>
      <c r="R52" s="413"/>
      <c r="S52" s="413"/>
      <c r="T52" s="413"/>
      <c r="U52" s="413"/>
      <c r="V52" s="413"/>
      <c r="W52" s="413"/>
      <c r="X52" s="413"/>
      <c r="Y52" s="413"/>
      <c r="Z52" s="413"/>
      <c r="AA52" s="413"/>
      <c r="AB52" s="413"/>
      <c r="AC52" s="413"/>
      <c r="AD52" s="413"/>
      <c r="AE52" s="413"/>
      <c r="AF52" s="413"/>
      <c r="AG52" s="413"/>
      <c r="AH52" s="413"/>
      <c r="AI52" s="413"/>
      <c r="AJ52" s="413"/>
      <c r="AK52" s="413"/>
      <c r="AL52" s="413"/>
      <c r="AM52" s="413"/>
      <c r="AN52" s="413"/>
      <c r="AO52" s="414"/>
      <c r="AP52" s="413"/>
      <c r="AQ52" s="413"/>
      <c r="AR52" s="413"/>
      <c r="AS52" s="413"/>
      <c r="AT52" s="413"/>
      <c r="AU52" s="413"/>
      <c r="AV52" s="413"/>
      <c r="AW52" s="413"/>
      <c r="AX52" s="413"/>
      <c r="AY52" s="414"/>
      <c r="AZ52" s="413"/>
      <c r="BA52" s="413"/>
      <c r="BB52" s="413"/>
      <c r="BC52" s="413"/>
      <c r="BD52" s="413"/>
      <c r="BE52" s="413"/>
      <c r="BF52" s="413"/>
      <c r="BG52" s="413"/>
      <c r="BH52" s="413"/>
      <c r="BI52" s="414"/>
      <c r="BJ52" s="413"/>
      <c r="BK52" s="413"/>
      <c r="BL52" s="413"/>
      <c r="BM52" s="413"/>
      <c r="BN52" s="413"/>
      <c r="BO52" s="413"/>
      <c r="BP52" s="413"/>
      <c r="BQ52" s="413"/>
      <c r="BR52" s="413"/>
      <c r="BS52" s="413"/>
      <c r="BT52" s="413"/>
      <c r="BU52" s="413"/>
      <c r="BV52" s="413"/>
      <c r="BW52" s="413"/>
      <c r="BX52" s="413"/>
      <c r="BY52" s="413"/>
      <c r="BZ52" s="413"/>
      <c r="CA52" s="413"/>
      <c r="CB52" s="413"/>
      <c r="CC52" s="413"/>
      <c r="CD52" s="413"/>
      <c r="CE52" s="413"/>
      <c r="CF52" s="413"/>
      <c r="CG52" s="413"/>
      <c r="CH52" s="413"/>
      <c r="CI52" s="413"/>
      <c r="CJ52" s="413"/>
      <c r="CK52" s="413"/>
      <c r="CL52" s="413"/>
      <c r="CM52" s="414"/>
      <c r="CN52" s="413"/>
      <c r="CO52" s="413"/>
      <c r="CP52" s="413"/>
      <c r="CQ52" s="413"/>
      <c r="CR52" s="413"/>
      <c r="CS52" s="413"/>
      <c r="CT52" s="413"/>
      <c r="CU52" s="413"/>
      <c r="CV52" s="413"/>
      <c r="CW52" s="414"/>
      <c r="CX52" s="413"/>
      <c r="CY52" s="413"/>
      <c r="CZ52" s="413"/>
      <c r="DA52" s="413"/>
      <c r="DB52" s="413"/>
      <c r="DC52" s="413"/>
      <c r="DD52" s="413"/>
      <c r="DE52" s="413"/>
      <c r="DF52" s="413"/>
      <c r="DG52" s="414"/>
      <c r="DH52" s="413"/>
      <c r="DI52" s="413"/>
      <c r="DJ52" s="413"/>
      <c r="DK52" s="413"/>
      <c r="DL52" s="413"/>
      <c r="DM52" s="413"/>
      <c r="DN52" s="413"/>
      <c r="DO52" s="413"/>
      <c r="DP52" s="413"/>
      <c r="DQ52" s="414"/>
      <c r="DR52" s="413"/>
      <c r="DS52" s="413"/>
      <c r="DT52" s="413"/>
      <c r="DU52" s="413"/>
      <c r="DV52" s="413"/>
      <c r="DW52" s="413"/>
      <c r="DX52" s="413"/>
      <c r="DY52" s="413"/>
      <c r="DZ52" s="413"/>
      <c r="EA52" s="413"/>
      <c r="EB52" s="413"/>
      <c r="EC52" s="413"/>
      <c r="ED52" s="413"/>
      <c r="EE52" s="413"/>
      <c r="EF52" s="413"/>
      <c r="EG52" s="413"/>
      <c r="EH52" s="413"/>
      <c r="EI52" s="413"/>
      <c r="EJ52" s="413"/>
      <c r="EK52" s="413"/>
      <c r="EL52" s="413"/>
      <c r="EM52" s="452"/>
      <c r="EN52" s="413"/>
      <c r="EO52" s="453"/>
      <c r="EP52" s="413"/>
      <c r="EQ52" s="434"/>
      <c r="ER52" s="434"/>
      <c r="ES52" s="434"/>
      <c r="ET52" s="434"/>
      <c r="EU52" s="434"/>
      <c r="EV52" s="434"/>
      <c r="EW52" s="434"/>
      <c r="EX52" s="434"/>
      <c r="EY52" s="434"/>
      <c r="EZ52" s="434"/>
      <c r="FA52" s="434"/>
      <c r="FB52" s="434"/>
      <c r="FC52" s="399"/>
      <c r="FD52" s="399"/>
      <c r="FE52" s="399"/>
      <c r="FF52" s="399"/>
      <c r="FG52" s="415"/>
      <c r="FH52" s="415"/>
      <c r="FI52" s="415"/>
      <c r="FJ52" s="415"/>
      <c r="FK52" s="415"/>
      <c r="FL52" s="415"/>
      <c r="FM52" s="415"/>
    </row>
    <row r="53" spans="1:169" hidden="1">
      <c r="A53" s="410" t="s">
        <v>86</v>
      </c>
      <c r="B53" s="459"/>
      <c r="C53" s="412"/>
      <c r="D53" s="412"/>
      <c r="E53" s="412"/>
      <c r="F53" s="412"/>
      <c r="G53" s="412"/>
      <c r="H53" s="412"/>
      <c r="I53" s="412"/>
      <c r="J53" s="412"/>
      <c r="K53" s="412"/>
      <c r="L53" s="412"/>
      <c r="M53" s="413"/>
      <c r="N53" s="413"/>
      <c r="O53" s="413"/>
      <c r="P53" s="413"/>
      <c r="Q53" s="413"/>
      <c r="R53" s="413"/>
      <c r="S53" s="413"/>
      <c r="T53" s="413"/>
      <c r="U53" s="413"/>
      <c r="V53" s="413"/>
      <c r="W53" s="413"/>
      <c r="X53" s="413"/>
      <c r="Y53" s="413"/>
      <c r="Z53" s="413"/>
      <c r="AA53" s="413"/>
      <c r="AB53" s="413"/>
      <c r="AC53" s="413"/>
      <c r="AD53" s="413"/>
      <c r="AE53" s="413"/>
      <c r="AF53" s="413"/>
      <c r="AG53" s="413"/>
      <c r="AH53" s="413"/>
      <c r="AI53" s="413"/>
      <c r="AJ53" s="413"/>
      <c r="AK53" s="413"/>
      <c r="AL53" s="413"/>
      <c r="AM53" s="413"/>
      <c r="AN53" s="413"/>
      <c r="AO53" s="414"/>
      <c r="AP53" s="413"/>
      <c r="AQ53" s="413"/>
      <c r="AR53" s="413"/>
      <c r="AS53" s="413"/>
      <c r="AT53" s="413"/>
      <c r="AU53" s="413"/>
      <c r="AV53" s="413"/>
      <c r="AW53" s="413"/>
      <c r="AX53" s="413"/>
      <c r="AY53" s="414"/>
      <c r="AZ53" s="413"/>
      <c r="BA53" s="413"/>
      <c r="BB53" s="413"/>
      <c r="BC53" s="413"/>
      <c r="BD53" s="413"/>
      <c r="BE53" s="413"/>
      <c r="BF53" s="413"/>
      <c r="BG53" s="413"/>
      <c r="BH53" s="413"/>
      <c r="BI53" s="414"/>
      <c r="BJ53" s="413"/>
      <c r="BK53" s="413"/>
      <c r="BL53" s="413"/>
      <c r="BM53" s="413"/>
      <c r="BN53" s="413"/>
      <c r="BO53" s="413"/>
      <c r="BP53" s="413"/>
      <c r="BQ53" s="413"/>
      <c r="BR53" s="413"/>
      <c r="BS53" s="413"/>
      <c r="BT53" s="413"/>
      <c r="BU53" s="413"/>
      <c r="BV53" s="413"/>
      <c r="BW53" s="413"/>
      <c r="BX53" s="413"/>
      <c r="BY53" s="413"/>
      <c r="BZ53" s="413"/>
      <c r="CA53" s="413"/>
      <c r="CB53" s="413"/>
      <c r="CC53" s="413"/>
      <c r="CD53" s="413"/>
      <c r="CE53" s="413"/>
      <c r="CF53" s="413"/>
      <c r="CG53" s="413"/>
      <c r="CH53" s="413"/>
      <c r="CI53" s="413"/>
      <c r="CJ53" s="413"/>
      <c r="CK53" s="413"/>
      <c r="CL53" s="413"/>
      <c r="CM53" s="414"/>
      <c r="CN53" s="413"/>
      <c r="CO53" s="413"/>
      <c r="CP53" s="413"/>
      <c r="CQ53" s="413"/>
      <c r="CR53" s="413"/>
      <c r="CS53" s="413"/>
      <c r="CT53" s="413"/>
      <c r="CU53" s="413"/>
      <c r="CV53" s="413"/>
      <c r="CW53" s="414"/>
      <c r="CX53" s="413"/>
      <c r="CY53" s="413"/>
      <c r="CZ53" s="413"/>
      <c r="DA53" s="413"/>
      <c r="DB53" s="413"/>
      <c r="DC53" s="413"/>
      <c r="DD53" s="413"/>
      <c r="DE53" s="413"/>
      <c r="DF53" s="413"/>
      <c r="DG53" s="414"/>
      <c r="DH53" s="413"/>
      <c r="DI53" s="413"/>
      <c r="DJ53" s="413"/>
      <c r="DK53" s="413"/>
      <c r="DL53" s="413"/>
      <c r="DM53" s="413"/>
      <c r="DN53" s="413"/>
      <c r="DO53" s="413"/>
      <c r="DP53" s="413"/>
      <c r="DQ53" s="414"/>
      <c r="DR53" s="413"/>
      <c r="DS53" s="413"/>
      <c r="DT53" s="413"/>
      <c r="DU53" s="413"/>
      <c r="DV53" s="413"/>
      <c r="DW53" s="413"/>
      <c r="DX53" s="413"/>
      <c r="DY53" s="413"/>
      <c r="DZ53" s="413"/>
      <c r="EA53" s="413"/>
      <c r="EB53" s="413"/>
      <c r="EC53" s="413"/>
      <c r="ED53" s="413"/>
      <c r="EE53" s="413"/>
      <c r="EF53" s="413"/>
      <c r="EG53" s="413"/>
      <c r="EH53" s="413"/>
      <c r="EI53" s="413"/>
      <c r="EJ53" s="413"/>
      <c r="EK53" s="413"/>
      <c r="EL53" s="413"/>
      <c r="EM53" s="452"/>
      <c r="EN53" s="413"/>
      <c r="EO53" s="453"/>
      <c r="EP53" s="413"/>
      <c r="EQ53" s="434"/>
      <c r="ER53" s="434"/>
      <c r="ES53" s="434"/>
      <c r="ET53" s="434"/>
      <c r="EU53" s="434"/>
      <c r="EV53" s="434"/>
      <c r="EW53" s="434"/>
      <c r="EX53" s="434"/>
      <c r="EY53" s="434"/>
      <c r="EZ53" s="434"/>
      <c r="FA53" s="434"/>
      <c r="FB53" s="434"/>
      <c r="FC53" s="399"/>
      <c r="FD53" s="399"/>
      <c r="FE53" s="399"/>
      <c r="FF53" s="399"/>
      <c r="FG53" s="415"/>
      <c r="FH53" s="415"/>
      <c r="FI53" s="415"/>
      <c r="FJ53" s="415"/>
      <c r="FK53" s="415"/>
      <c r="FL53" s="415"/>
      <c r="FM53" s="415"/>
    </row>
    <row r="54" spans="1:169" hidden="1">
      <c r="A54" s="410"/>
      <c r="B54" s="57" t="s">
        <v>153</v>
      </c>
      <c r="C54" s="412"/>
      <c r="D54" s="412"/>
      <c r="E54" s="412"/>
      <c r="F54" s="412"/>
      <c r="G54" s="412"/>
      <c r="H54" s="412"/>
      <c r="I54" s="412"/>
      <c r="J54" s="412"/>
      <c r="K54" s="412"/>
      <c r="L54" s="412"/>
      <c r="M54" s="413"/>
      <c r="N54" s="413"/>
      <c r="O54" s="413"/>
      <c r="P54" s="413"/>
      <c r="Q54" s="413"/>
      <c r="R54" s="413"/>
      <c r="S54" s="413"/>
      <c r="T54" s="413"/>
      <c r="U54" s="413"/>
      <c r="V54" s="413"/>
      <c r="W54" s="413"/>
      <c r="X54" s="413"/>
      <c r="Y54" s="413"/>
      <c r="Z54" s="413"/>
      <c r="AA54" s="413"/>
      <c r="AB54" s="413"/>
      <c r="AC54" s="413"/>
      <c r="AD54" s="413"/>
      <c r="AE54" s="413"/>
      <c r="AF54" s="413"/>
      <c r="AG54" s="413"/>
      <c r="AH54" s="413"/>
      <c r="AI54" s="413"/>
      <c r="AJ54" s="413"/>
      <c r="AK54" s="413"/>
      <c r="AL54" s="413"/>
      <c r="AM54" s="413"/>
      <c r="AN54" s="413"/>
      <c r="AO54" s="414"/>
      <c r="AP54" s="413"/>
      <c r="AQ54" s="413"/>
      <c r="AR54" s="413"/>
      <c r="AS54" s="413"/>
      <c r="AT54" s="413"/>
      <c r="AU54" s="413"/>
      <c r="AV54" s="413"/>
      <c r="AW54" s="413"/>
      <c r="AX54" s="413"/>
      <c r="AY54" s="414"/>
      <c r="AZ54" s="413"/>
      <c r="BA54" s="413"/>
      <c r="BB54" s="413"/>
      <c r="BC54" s="413"/>
      <c r="BD54" s="413"/>
      <c r="BE54" s="413"/>
      <c r="BF54" s="413"/>
      <c r="BG54" s="413"/>
      <c r="BH54" s="413"/>
      <c r="BI54" s="414"/>
      <c r="BJ54" s="413"/>
      <c r="BK54" s="413"/>
      <c r="BL54" s="413"/>
      <c r="BM54" s="413"/>
      <c r="BN54" s="413"/>
      <c r="BO54" s="413"/>
      <c r="BP54" s="413"/>
      <c r="BQ54" s="413"/>
      <c r="BR54" s="413"/>
      <c r="BS54" s="413"/>
      <c r="BT54" s="413"/>
      <c r="BU54" s="413"/>
      <c r="BV54" s="413"/>
      <c r="BW54" s="413"/>
      <c r="BX54" s="413"/>
      <c r="BY54" s="413"/>
      <c r="BZ54" s="413"/>
      <c r="CA54" s="413"/>
      <c r="CB54" s="413"/>
      <c r="CC54" s="413"/>
      <c r="CD54" s="413"/>
      <c r="CE54" s="413"/>
      <c r="CF54" s="413"/>
      <c r="CG54" s="413"/>
      <c r="CH54" s="413"/>
      <c r="CI54" s="413"/>
      <c r="CJ54" s="413"/>
      <c r="CK54" s="413"/>
      <c r="CL54" s="413"/>
      <c r="CM54" s="414"/>
      <c r="CN54" s="413"/>
      <c r="CO54" s="413"/>
      <c r="CP54" s="413"/>
      <c r="CQ54" s="413"/>
      <c r="CR54" s="413"/>
      <c r="CS54" s="413"/>
      <c r="CT54" s="413"/>
      <c r="CU54" s="413"/>
      <c r="CV54" s="413"/>
      <c r="CW54" s="414"/>
      <c r="CX54" s="413"/>
      <c r="CY54" s="413"/>
      <c r="CZ54" s="413"/>
      <c r="DA54" s="413"/>
      <c r="DB54" s="413"/>
      <c r="DC54" s="413"/>
      <c r="DD54" s="413"/>
      <c r="DE54" s="413"/>
      <c r="DF54" s="413"/>
      <c r="DG54" s="414"/>
      <c r="DH54" s="413"/>
      <c r="DI54" s="413"/>
      <c r="DJ54" s="413"/>
      <c r="DK54" s="413"/>
      <c r="DL54" s="413"/>
      <c r="DM54" s="413"/>
      <c r="DN54" s="413"/>
      <c r="DO54" s="413"/>
      <c r="DP54" s="413"/>
      <c r="DQ54" s="414"/>
      <c r="DR54" s="413"/>
      <c r="DS54" s="413"/>
      <c r="DT54" s="413"/>
      <c r="DU54" s="413"/>
      <c r="DV54" s="413"/>
      <c r="DW54" s="413"/>
      <c r="DX54" s="413"/>
      <c r="DY54" s="413"/>
      <c r="DZ54" s="413"/>
      <c r="EA54" s="413"/>
      <c r="EB54" s="413"/>
      <c r="EC54" s="413"/>
      <c r="ED54" s="413"/>
      <c r="EE54" s="413"/>
      <c r="EF54" s="413"/>
      <c r="EG54" s="413"/>
      <c r="EH54" s="413"/>
      <c r="EI54" s="413"/>
      <c r="EJ54" s="413"/>
      <c r="EK54" s="413"/>
      <c r="EL54" s="413"/>
      <c r="EM54" s="452"/>
      <c r="EN54" s="413"/>
      <c r="EO54" s="453"/>
      <c r="EP54" s="413"/>
      <c r="EQ54" s="434"/>
      <c r="ER54" s="434"/>
      <c r="ES54" s="434"/>
      <c r="ET54" s="434"/>
      <c r="EU54" s="434"/>
      <c r="EV54" s="434"/>
      <c r="EW54" s="434"/>
      <c r="EX54" s="434"/>
      <c r="EY54" s="434"/>
      <c r="EZ54" s="434"/>
      <c r="FA54" s="434"/>
      <c r="FB54" s="434"/>
      <c r="FC54" s="399"/>
      <c r="FD54" s="399"/>
      <c r="FE54" s="399"/>
      <c r="FF54" s="399"/>
      <c r="FG54" s="415"/>
      <c r="FH54" s="415"/>
      <c r="FI54" s="415"/>
      <c r="FJ54" s="415"/>
      <c r="FK54" s="415"/>
      <c r="FL54" s="415"/>
      <c r="FM54" s="415"/>
    </row>
    <row r="55" spans="1:169" hidden="1">
      <c r="A55" s="410"/>
      <c r="B55" s="57"/>
      <c r="C55" s="412"/>
      <c r="D55" s="412"/>
      <c r="E55" s="412"/>
      <c r="F55" s="412"/>
      <c r="G55" s="412"/>
      <c r="H55" s="412"/>
      <c r="I55" s="412"/>
      <c r="J55" s="412"/>
      <c r="K55" s="412"/>
      <c r="L55" s="412"/>
      <c r="M55" s="413"/>
      <c r="N55" s="413"/>
      <c r="O55" s="413"/>
      <c r="P55" s="413"/>
      <c r="Q55" s="413"/>
      <c r="R55" s="413"/>
      <c r="S55" s="413"/>
      <c r="T55" s="413"/>
      <c r="U55" s="413"/>
      <c r="V55" s="413"/>
      <c r="W55" s="413"/>
      <c r="X55" s="413"/>
      <c r="Y55" s="413"/>
      <c r="Z55" s="413"/>
      <c r="AA55" s="413"/>
      <c r="AB55" s="413"/>
      <c r="AC55" s="413"/>
      <c r="AD55" s="413"/>
      <c r="AE55" s="413"/>
      <c r="AF55" s="413"/>
      <c r="AG55" s="413"/>
      <c r="AH55" s="413"/>
      <c r="AI55" s="413"/>
      <c r="AJ55" s="413"/>
      <c r="AK55" s="413"/>
      <c r="AL55" s="413"/>
      <c r="AM55" s="413"/>
      <c r="AN55" s="413"/>
      <c r="AO55" s="414"/>
      <c r="AP55" s="413"/>
      <c r="AQ55" s="413"/>
      <c r="AR55" s="413"/>
      <c r="AS55" s="413"/>
      <c r="AT55" s="413"/>
      <c r="AU55" s="413"/>
      <c r="AV55" s="413"/>
      <c r="AW55" s="413"/>
      <c r="AX55" s="413"/>
      <c r="AY55" s="414"/>
      <c r="AZ55" s="413"/>
      <c r="BA55" s="413"/>
      <c r="BB55" s="413"/>
      <c r="BC55" s="413"/>
      <c r="BD55" s="413"/>
      <c r="BE55" s="413"/>
      <c r="BF55" s="413"/>
      <c r="BG55" s="413"/>
      <c r="BH55" s="413"/>
      <c r="BI55" s="414"/>
      <c r="BJ55" s="413"/>
      <c r="BK55" s="413"/>
      <c r="BL55" s="413"/>
      <c r="BM55" s="413"/>
      <c r="BN55" s="413"/>
      <c r="BO55" s="413"/>
      <c r="BP55" s="413"/>
      <c r="BQ55" s="413"/>
      <c r="BR55" s="413"/>
      <c r="BS55" s="413"/>
      <c r="BT55" s="413"/>
      <c r="BU55" s="413"/>
      <c r="BV55" s="413"/>
      <c r="BW55" s="413"/>
      <c r="BX55" s="413"/>
      <c r="BY55" s="413"/>
      <c r="BZ55" s="413"/>
      <c r="CA55" s="413"/>
      <c r="CB55" s="413"/>
      <c r="CC55" s="413"/>
      <c r="CD55" s="413"/>
      <c r="CE55" s="413"/>
      <c r="CF55" s="413"/>
      <c r="CG55" s="413"/>
      <c r="CH55" s="413"/>
      <c r="CI55" s="413"/>
      <c r="CJ55" s="413"/>
      <c r="CK55" s="413"/>
      <c r="CL55" s="413"/>
      <c r="CM55" s="414"/>
      <c r="CN55" s="413"/>
      <c r="CO55" s="413"/>
      <c r="CP55" s="413"/>
      <c r="CQ55" s="413"/>
      <c r="CR55" s="413"/>
      <c r="CS55" s="413"/>
      <c r="CT55" s="413"/>
      <c r="CU55" s="413"/>
      <c r="CV55" s="413"/>
      <c r="CW55" s="414"/>
      <c r="CX55" s="413"/>
      <c r="CY55" s="413"/>
      <c r="CZ55" s="413"/>
      <c r="DA55" s="413"/>
      <c r="DB55" s="413"/>
      <c r="DC55" s="413"/>
      <c r="DD55" s="413"/>
      <c r="DE55" s="413"/>
      <c r="DF55" s="413"/>
      <c r="DG55" s="414"/>
      <c r="DH55" s="413"/>
      <c r="DI55" s="413"/>
      <c r="DJ55" s="413"/>
      <c r="DK55" s="413"/>
      <c r="DL55" s="413"/>
      <c r="DM55" s="413"/>
      <c r="DN55" s="413"/>
      <c r="DO55" s="413"/>
      <c r="DP55" s="413"/>
      <c r="DQ55" s="414"/>
      <c r="DR55" s="413"/>
      <c r="DS55" s="413"/>
      <c r="DT55" s="413"/>
      <c r="DU55" s="413"/>
      <c r="DV55" s="413"/>
      <c r="DW55" s="413"/>
      <c r="DX55" s="413"/>
      <c r="DY55" s="413"/>
      <c r="DZ55" s="413"/>
      <c r="EA55" s="413"/>
      <c r="EB55" s="413"/>
      <c r="EC55" s="413"/>
      <c r="ED55" s="413"/>
      <c r="EE55" s="413"/>
      <c r="EF55" s="413"/>
      <c r="EG55" s="413"/>
      <c r="EH55" s="413"/>
      <c r="EI55" s="413"/>
      <c r="EJ55" s="413"/>
      <c r="EK55" s="413"/>
      <c r="EL55" s="413"/>
      <c r="EM55" s="452"/>
      <c r="EN55" s="413"/>
      <c r="EO55" s="453"/>
      <c r="EP55" s="413"/>
      <c r="EQ55" s="434"/>
      <c r="ER55" s="434"/>
      <c r="ES55" s="434"/>
      <c r="ET55" s="434"/>
      <c r="EU55" s="434"/>
      <c r="EV55" s="434"/>
      <c r="EW55" s="434"/>
      <c r="EX55" s="434"/>
      <c r="EY55" s="434"/>
      <c r="EZ55" s="434"/>
      <c r="FA55" s="434"/>
      <c r="FB55" s="434"/>
      <c r="FC55" s="399"/>
      <c r="FD55" s="399"/>
      <c r="FE55" s="399"/>
      <c r="FF55" s="399"/>
      <c r="FG55" s="415"/>
      <c r="FH55" s="415"/>
      <c r="FI55" s="415"/>
      <c r="FJ55" s="415"/>
      <c r="FK55" s="415"/>
      <c r="FL55" s="415"/>
      <c r="FM55" s="415"/>
    </row>
    <row r="56" spans="1:169" hidden="1">
      <c r="A56" s="462" t="s">
        <v>17</v>
      </c>
      <c r="B56" s="57" t="s">
        <v>1325</v>
      </c>
      <c r="C56" s="412"/>
      <c r="D56" s="412"/>
      <c r="E56" s="412"/>
      <c r="F56" s="412"/>
      <c r="G56" s="412"/>
      <c r="H56" s="412"/>
      <c r="I56" s="412"/>
      <c r="J56" s="412"/>
      <c r="K56" s="412"/>
      <c r="L56" s="412"/>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3"/>
      <c r="AO56" s="414"/>
      <c r="AP56" s="413"/>
      <c r="AQ56" s="413"/>
      <c r="AR56" s="413"/>
      <c r="AS56" s="413"/>
      <c r="AT56" s="413"/>
      <c r="AU56" s="413"/>
      <c r="AV56" s="413"/>
      <c r="AW56" s="413"/>
      <c r="AX56" s="413"/>
      <c r="AY56" s="414"/>
      <c r="AZ56" s="413"/>
      <c r="BA56" s="413"/>
      <c r="BB56" s="413"/>
      <c r="BC56" s="413"/>
      <c r="BD56" s="413"/>
      <c r="BE56" s="413"/>
      <c r="BF56" s="413"/>
      <c r="BG56" s="413"/>
      <c r="BH56" s="413"/>
      <c r="BI56" s="414"/>
      <c r="BJ56" s="413"/>
      <c r="BK56" s="413"/>
      <c r="BL56" s="413"/>
      <c r="BM56" s="413"/>
      <c r="BN56" s="413"/>
      <c r="BO56" s="413"/>
      <c r="BP56" s="413"/>
      <c r="BQ56" s="413"/>
      <c r="BR56" s="413"/>
      <c r="BS56" s="413"/>
      <c r="BT56" s="413"/>
      <c r="BU56" s="413"/>
      <c r="BV56" s="413"/>
      <c r="BW56" s="413"/>
      <c r="BX56" s="413"/>
      <c r="BY56" s="413"/>
      <c r="BZ56" s="413"/>
      <c r="CA56" s="413"/>
      <c r="CB56" s="413"/>
      <c r="CC56" s="413"/>
      <c r="CD56" s="413"/>
      <c r="CE56" s="413"/>
      <c r="CF56" s="413"/>
      <c r="CG56" s="413"/>
      <c r="CH56" s="413"/>
      <c r="CI56" s="413"/>
      <c r="CJ56" s="413"/>
      <c r="CK56" s="413"/>
      <c r="CL56" s="413"/>
      <c r="CM56" s="414"/>
      <c r="CN56" s="413"/>
      <c r="CO56" s="413"/>
      <c r="CP56" s="413"/>
      <c r="CQ56" s="413"/>
      <c r="CR56" s="413"/>
      <c r="CS56" s="413"/>
      <c r="CT56" s="413"/>
      <c r="CU56" s="413"/>
      <c r="CV56" s="413"/>
      <c r="CW56" s="414"/>
      <c r="CX56" s="413"/>
      <c r="CY56" s="413"/>
      <c r="CZ56" s="413"/>
      <c r="DA56" s="413"/>
      <c r="DB56" s="413"/>
      <c r="DC56" s="413"/>
      <c r="DD56" s="413"/>
      <c r="DE56" s="413"/>
      <c r="DF56" s="413"/>
      <c r="DG56" s="414"/>
      <c r="DH56" s="413"/>
      <c r="DI56" s="413"/>
      <c r="DJ56" s="413"/>
      <c r="DK56" s="413"/>
      <c r="DL56" s="413"/>
      <c r="DM56" s="413"/>
      <c r="DN56" s="413"/>
      <c r="DO56" s="413"/>
      <c r="DP56" s="413"/>
      <c r="DQ56" s="414"/>
      <c r="DR56" s="413"/>
      <c r="DS56" s="413"/>
      <c r="DT56" s="413"/>
      <c r="DU56" s="413"/>
      <c r="DV56" s="413"/>
      <c r="DW56" s="413"/>
      <c r="DX56" s="413"/>
      <c r="DY56" s="413"/>
      <c r="DZ56" s="413"/>
      <c r="EA56" s="413"/>
      <c r="EB56" s="413"/>
      <c r="EC56" s="413"/>
      <c r="ED56" s="413"/>
      <c r="EE56" s="413"/>
      <c r="EF56" s="413"/>
      <c r="EG56" s="413"/>
      <c r="EH56" s="413"/>
      <c r="EI56" s="413"/>
      <c r="EJ56" s="413"/>
      <c r="EK56" s="413"/>
      <c r="EL56" s="413"/>
      <c r="EM56" s="452"/>
      <c r="EN56" s="413"/>
      <c r="EO56" s="453"/>
      <c r="EP56" s="413"/>
      <c r="EQ56" s="434"/>
      <c r="ER56" s="434"/>
      <c r="ES56" s="434"/>
      <c r="ET56" s="434"/>
      <c r="EU56" s="434"/>
      <c r="EV56" s="434"/>
      <c r="EW56" s="434"/>
      <c r="EX56" s="434"/>
      <c r="EY56" s="434"/>
      <c r="EZ56" s="434"/>
      <c r="FA56" s="434"/>
      <c r="FB56" s="434"/>
      <c r="FC56" s="399"/>
      <c r="FD56" s="399"/>
      <c r="FE56" s="399"/>
      <c r="FF56" s="399"/>
      <c r="FG56" s="415"/>
      <c r="FH56" s="415"/>
      <c r="FI56" s="415"/>
      <c r="FJ56" s="415"/>
      <c r="FK56" s="415"/>
      <c r="FL56" s="415"/>
      <c r="FM56" s="415"/>
    </row>
    <row r="57" spans="1:169" hidden="1">
      <c r="A57" s="410" t="s">
        <v>82</v>
      </c>
      <c r="B57" s="459" t="s">
        <v>1326</v>
      </c>
      <c r="C57" s="412"/>
      <c r="D57" s="412"/>
      <c r="E57" s="412"/>
      <c r="F57" s="412"/>
      <c r="G57" s="412"/>
      <c r="H57" s="412"/>
      <c r="I57" s="412"/>
      <c r="J57" s="412"/>
      <c r="K57" s="412"/>
      <c r="L57" s="412"/>
      <c r="M57" s="413"/>
      <c r="N57" s="413"/>
      <c r="O57" s="413"/>
      <c r="P57" s="413"/>
      <c r="Q57" s="413"/>
      <c r="R57" s="413"/>
      <c r="S57" s="413"/>
      <c r="T57" s="413"/>
      <c r="U57" s="413"/>
      <c r="V57" s="413"/>
      <c r="W57" s="413"/>
      <c r="X57" s="413"/>
      <c r="Y57" s="413"/>
      <c r="Z57" s="413"/>
      <c r="AA57" s="413"/>
      <c r="AB57" s="413"/>
      <c r="AC57" s="413"/>
      <c r="AD57" s="413"/>
      <c r="AE57" s="413"/>
      <c r="AF57" s="413"/>
      <c r="AG57" s="413"/>
      <c r="AH57" s="413"/>
      <c r="AI57" s="413"/>
      <c r="AJ57" s="413"/>
      <c r="AK57" s="413"/>
      <c r="AL57" s="413"/>
      <c r="AM57" s="413"/>
      <c r="AN57" s="413"/>
      <c r="AO57" s="414"/>
      <c r="AP57" s="413"/>
      <c r="AQ57" s="413"/>
      <c r="AR57" s="413"/>
      <c r="AS57" s="413"/>
      <c r="AT57" s="413"/>
      <c r="AU57" s="413"/>
      <c r="AV57" s="413"/>
      <c r="AW57" s="413"/>
      <c r="AX57" s="413"/>
      <c r="AY57" s="414"/>
      <c r="AZ57" s="413"/>
      <c r="BA57" s="413"/>
      <c r="BB57" s="413"/>
      <c r="BC57" s="413"/>
      <c r="BD57" s="413"/>
      <c r="BE57" s="413"/>
      <c r="BF57" s="413"/>
      <c r="BG57" s="413"/>
      <c r="BH57" s="413"/>
      <c r="BI57" s="414"/>
      <c r="BJ57" s="413"/>
      <c r="BK57" s="413"/>
      <c r="BL57" s="413"/>
      <c r="BM57" s="413"/>
      <c r="BN57" s="413"/>
      <c r="BO57" s="413"/>
      <c r="BP57" s="413"/>
      <c r="BQ57" s="413"/>
      <c r="BR57" s="413"/>
      <c r="BS57" s="413"/>
      <c r="BT57" s="413"/>
      <c r="BU57" s="413"/>
      <c r="BV57" s="413"/>
      <c r="BW57" s="413"/>
      <c r="BX57" s="413"/>
      <c r="BY57" s="413"/>
      <c r="BZ57" s="413"/>
      <c r="CA57" s="413"/>
      <c r="CB57" s="413"/>
      <c r="CC57" s="413"/>
      <c r="CD57" s="413"/>
      <c r="CE57" s="413"/>
      <c r="CF57" s="413"/>
      <c r="CG57" s="413"/>
      <c r="CH57" s="413"/>
      <c r="CI57" s="413"/>
      <c r="CJ57" s="413"/>
      <c r="CK57" s="413"/>
      <c r="CL57" s="413"/>
      <c r="CM57" s="414"/>
      <c r="CN57" s="413"/>
      <c r="CO57" s="413"/>
      <c r="CP57" s="413"/>
      <c r="CQ57" s="413"/>
      <c r="CR57" s="413"/>
      <c r="CS57" s="413"/>
      <c r="CT57" s="413"/>
      <c r="CU57" s="413"/>
      <c r="CV57" s="413"/>
      <c r="CW57" s="414"/>
      <c r="CX57" s="413"/>
      <c r="CY57" s="413"/>
      <c r="CZ57" s="413"/>
      <c r="DA57" s="413"/>
      <c r="DB57" s="413"/>
      <c r="DC57" s="413"/>
      <c r="DD57" s="413"/>
      <c r="DE57" s="413"/>
      <c r="DF57" s="413"/>
      <c r="DG57" s="414"/>
      <c r="DH57" s="413"/>
      <c r="DI57" s="413"/>
      <c r="DJ57" s="413"/>
      <c r="DK57" s="413"/>
      <c r="DL57" s="413"/>
      <c r="DM57" s="413"/>
      <c r="DN57" s="413"/>
      <c r="DO57" s="413"/>
      <c r="DP57" s="413"/>
      <c r="DQ57" s="414"/>
      <c r="DR57" s="413"/>
      <c r="DS57" s="413"/>
      <c r="DT57" s="413"/>
      <c r="DU57" s="413"/>
      <c r="DV57" s="413"/>
      <c r="DW57" s="413"/>
      <c r="DX57" s="413"/>
      <c r="DY57" s="413"/>
      <c r="DZ57" s="413"/>
      <c r="EA57" s="413"/>
      <c r="EB57" s="413"/>
      <c r="EC57" s="413"/>
      <c r="ED57" s="413"/>
      <c r="EE57" s="413"/>
      <c r="EF57" s="413"/>
      <c r="EG57" s="413"/>
      <c r="EH57" s="413"/>
      <c r="EI57" s="413"/>
      <c r="EJ57" s="413"/>
      <c r="EK57" s="413"/>
      <c r="EL57" s="413"/>
      <c r="EM57" s="452"/>
      <c r="EN57" s="413"/>
      <c r="EO57" s="453"/>
      <c r="EP57" s="413"/>
      <c r="EQ57" s="434"/>
      <c r="ER57" s="434"/>
      <c r="ES57" s="434"/>
      <c r="ET57" s="434"/>
      <c r="EU57" s="434"/>
      <c r="EV57" s="434"/>
      <c r="EW57" s="434"/>
      <c r="EX57" s="434"/>
      <c r="EY57" s="434"/>
      <c r="EZ57" s="434"/>
      <c r="FA57" s="434"/>
      <c r="FB57" s="434"/>
      <c r="FC57" s="399"/>
      <c r="FD57" s="399"/>
      <c r="FE57" s="399"/>
      <c r="FF57" s="399"/>
      <c r="FG57" s="415"/>
      <c r="FH57" s="415"/>
      <c r="FI57" s="415"/>
      <c r="FJ57" s="415"/>
      <c r="FK57" s="415"/>
      <c r="FL57" s="415"/>
      <c r="FM57" s="415"/>
    </row>
    <row r="58" spans="1:169" hidden="1">
      <c r="A58" s="410" t="s">
        <v>83</v>
      </c>
      <c r="B58" s="459" t="s">
        <v>1327</v>
      </c>
      <c r="C58" s="412"/>
      <c r="D58" s="412"/>
      <c r="E58" s="412"/>
      <c r="F58" s="412"/>
      <c r="G58" s="412"/>
      <c r="H58" s="412"/>
      <c r="I58" s="412"/>
      <c r="J58" s="412"/>
      <c r="K58" s="412"/>
      <c r="L58" s="412"/>
      <c r="M58" s="413"/>
      <c r="N58" s="413"/>
      <c r="O58" s="413"/>
      <c r="P58" s="413"/>
      <c r="Q58" s="413"/>
      <c r="R58" s="413"/>
      <c r="S58" s="413"/>
      <c r="T58" s="413"/>
      <c r="U58" s="413"/>
      <c r="V58" s="413"/>
      <c r="W58" s="413"/>
      <c r="X58" s="413"/>
      <c r="Y58" s="413"/>
      <c r="Z58" s="413"/>
      <c r="AA58" s="413"/>
      <c r="AB58" s="413"/>
      <c r="AC58" s="413"/>
      <c r="AD58" s="413"/>
      <c r="AE58" s="413"/>
      <c r="AF58" s="413"/>
      <c r="AG58" s="413"/>
      <c r="AH58" s="413"/>
      <c r="AI58" s="413"/>
      <c r="AJ58" s="413"/>
      <c r="AK58" s="413"/>
      <c r="AL58" s="413"/>
      <c r="AM58" s="413"/>
      <c r="AN58" s="413"/>
      <c r="AO58" s="414"/>
      <c r="AP58" s="413"/>
      <c r="AQ58" s="413"/>
      <c r="AR58" s="413"/>
      <c r="AS58" s="413"/>
      <c r="AT58" s="413"/>
      <c r="AU58" s="413"/>
      <c r="AV58" s="413"/>
      <c r="AW58" s="413"/>
      <c r="AX58" s="413"/>
      <c r="AY58" s="414"/>
      <c r="AZ58" s="413"/>
      <c r="BA58" s="413"/>
      <c r="BB58" s="413"/>
      <c r="BC58" s="413"/>
      <c r="BD58" s="413"/>
      <c r="BE58" s="413"/>
      <c r="BF58" s="413"/>
      <c r="BG58" s="413"/>
      <c r="BH58" s="413"/>
      <c r="BI58" s="414"/>
      <c r="BJ58" s="413"/>
      <c r="BK58" s="413"/>
      <c r="BL58" s="413"/>
      <c r="BM58" s="413"/>
      <c r="BN58" s="413"/>
      <c r="BO58" s="413"/>
      <c r="BP58" s="413"/>
      <c r="BQ58" s="413"/>
      <c r="BR58" s="413"/>
      <c r="BS58" s="413"/>
      <c r="BT58" s="413"/>
      <c r="BU58" s="413"/>
      <c r="BV58" s="413"/>
      <c r="BW58" s="413"/>
      <c r="BX58" s="413"/>
      <c r="BY58" s="413"/>
      <c r="BZ58" s="413"/>
      <c r="CA58" s="413"/>
      <c r="CB58" s="413"/>
      <c r="CC58" s="413"/>
      <c r="CD58" s="413"/>
      <c r="CE58" s="413"/>
      <c r="CF58" s="413"/>
      <c r="CG58" s="413"/>
      <c r="CH58" s="413"/>
      <c r="CI58" s="413"/>
      <c r="CJ58" s="413"/>
      <c r="CK58" s="413"/>
      <c r="CL58" s="413"/>
      <c r="CM58" s="414"/>
      <c r="CN58" s="413"/>
      <c r="CO58" s="413"/>
      <c r="CP58" s="413"/>
      <c r="CQ58" s="413"/>
      <c r="CR58" s="413"/>
      <c r="CS58" s="413"/>
      <c r="CT58" s="413"/>
      <c r="CU58" s="413"/>
      <c r="CV58" s="413"/>
      <c r="CW58" s="414"/>
      <c r="CX58" s="413"/>
      <c r="CY58" s="413"/>
      <c r="CZ58" s="413"/>
      <c r="DA58" s="413"/>
      <c r="DB58" s="413"/>
      <c r="DC58" s="413"/>
      <c r="DD58" s="413"/>
      <c r="DE58" s="413"/>
      <c r="DF58" s="413"/>
      <c r="DG58" s="414"/>
      <c r="DH58" s="413"/>
      <c r="DI58" s="413"/>
      <c r="DJ58" s="413"/>
      <c r="DK58" s="413"/>
      <c r="DL58" s="413"/>
      <c r="DM58" s="413"/>
      <c r="DN58" s="413"/>
      <c r="DO58" s="413"/>
      <c r="DP58" s="413"/>
      <c r="DQ58" s="414"/>
      <c r="DR58" s="413"/>
      <c r="DS58" s="413"/>
      <c r="DT58" s="413"/>
      <c r="DU58" s="413"/>
      <c r="DV58" s="413"/>
      <c r="DW58" s="413"/>
      <c r="DX58" s="413"/>
      <c r="DY58" s="413"/>
      <c r="DZ58" s="413"/>
      <c r="EA58" s="413"/>
      <c r="EB58" s="413"/>
      <c r="EC58" s="413"/>
      <c r="ED58" s="413"/>
      <c r="EE58" s="413"/>
      <c r="EF58" s="413"/>
      <c r="EG58" s="413"/>
      <c r="EH58" s="413"/>
      <c r="EI58" s="413"/>
      <c r="EJ58" s="413"/>
      <c r="EK58" s="413"/>
      <c r="EL58" s="413"/>
      <c r="EM58" s="452"/>
      <c r="EN58" s="413"/>
      <c r="EO58" s="453"/>
      <c r="EP58" s="413"/>
      <c r="EQ58" s="434"/>
      <c r="ER58" s="434"/>
      <c r="ES58" s="434"/>
      <c r="ET58" s="434"/>
      <c r="EU58" s="434"/>
      <c r="EV58" s="434"/>
      <c r="EW58" s="434"/>
      <c r="EX58" s="434"/>
      <c r="EY58" s="434"/>
      <c r="EZ58" s="434"/>
      <c r="FA58" s="434"/>
      <c r="FB58" s="434"/>
      <c r="FC58" s="399"/>
      <c r="FD58" s="399"/>
      <c r="FE58" s="399"/>
      <c r="FF58" s="399"/>
      <c r="FG58" s="415"/>
      <c r="FH58" s="415"/>
      <c r="FI58" s="415"/>
      <c r="FJ58" s="415"/>
      <c r="FK58" s="415"/>
      <c r="FL58" s="415"/>
      <c r="FM58" s="415"/>
    </row>
    <row r="59" spans="1:169" hidden="1">
      <c r="A59" s="410" t="s">
        <v>86</v>
      </c>
      <c r="B59" s="459" t="s">
        <v>1328</v>
      </c>
      <c r="C59" s="412"/>
      <c r="D59" s="412"/>
      <c r="E59" s="412"/>
      <c r="F59" s="412"/>
      <c r="G59" s="412"/>
      <c r="H59" s="412"/>
      <c r="I59" s="412"/>
      <c r="J59" s="412"/>
      <c r="K59" s="412"/>
      <c r="L59" s="412"/>
      <c r="M59" s="413"/>
      <c r="N59" s="413"/>
      <c r="O59" s="413"/>
      <c r="P59" s="413"/>
      <c r="Q59" s="413"/>
      <c r="R59" s="413"/>
      <c r="S59" s="413"/>
      <c r="T59" s="413"/>
      <c r="U59" s="413"/>
      <c r="V59" s="413"/>
      <c r="W59" s="413"/>
      <c r="X59" s="413"/>
      <c r="Y59" s="413"/>
      <c r="Z59" s="413"/>
      <c r="AA59" s="413"/>
      <c r="AB59" s="413"/>
      <c r="AC59" s="413"/>
      <c r="AD59" s="413"/>
      <c r="AE59" s="413"/>
      <c r="AF59" s="413"/>
      <c r="AG59" s="413"/>
      <c r="AH59" s="413"/>
      <c r="AI59" s="413"/>
      <c r="AJ59" s="413"/>
      <c r="AK59" s="413"/>
      <c r="AL59" s="413"/>
      <c r="AM59" s="413"/>
      <c r="AN59" s="413"/>
      <c r="AO59" s="414"/>
      <c r="AP59" s="413"/>
      <c r="AQ59" s="413"/>
      <c r="AR59" s="413"/>
      <c r="AS59" s="413"/>
      <c r="AT59" s="413"/>
      <c r="AU59" s="413"/>
      <c r="AV59" s="413"/>
      <c r="AW59" s="413"/>
      <c r="AX59" s="413"/>
      <c r="AY59" s="414"/>
      <c r="AZ59" s="413"/>
      <c r="BA59" s="413"/>
      <c r="BB59" s="413"/>
      <c r="BC59" s="413"/>
      <c r="BD59" s="413"/>
      <c r="BE59" s="413"/>
      <c r="BF59" s="413"/>
      <c r="BG59" s="413"/>
      <c r="BH59" s="413"/>
      <c r="BI59" s="414"/>
      <c r="BJ59" s="413"/>
      <c r="BK59" s="413"/>
      <c r="BL59" s="413"/>
      <c r="BM59" s="413"/>
      <c r="BN59" s="413"/>
      <c r="BO59" s="413"/>
      <c r="BP59" s="413"/>
      <c r="BQ59" s="413"/>
      <c r="BR59" s="413"/>
      <c r="BS59" s="413"/>
      <c r="BT59" s="413"/>
      <c r="BU59" s="413"/>
      <c r="BV59" s="413"/>
      <c r="BW59" s="413"/>
      <c r="BX59" s="413"/>
      <c r="BY59" s="413"/>
      <c r="BZ59" s="413"/>
      <c r="CA59" s="413"/>
      <c r="CB59" s="413"/>
      <c r="CC59" s="413"/>
      <c r="CD59" s="413"/>
      <c r="CE59" s="413"/>
      <c r="CF59" s="413"/>
      <c r="CG59" s="413"/>
      <c r="CH59" s="413"/>
      <c r="CI59" s="413"/>
      <c r="CJ59" s="413"/>
      <c r="CK59" s="413"/>
      <c r="CL59" s="413"/>
      <c r="CM59" s="414"/>
      <c r="CN59" s="413"/>
      <c r="CO59" s="413"/>
      <c r="CP59" s="413"/>
      <c r="CQ59" s="413"/>
      <c r="CR59" s="413"/>
      <c r="CS59" s="413"/>
      <c r="CT59" s="413"/>
      <c r="CU59" s="413"/>
      <c r="CV59" s="413"/>
      <c r="CW59" s="414"/>
      <c r="CX59" s="413"/>
      <c r="CY59" s="413"/>
      <c r="CZ59" s="413"/>
      <c r="DA59" s="413"/>
      <c r="DB59" s="413"/>
      <c r="DC59" s="413"/>
      <c r="DD59" s="413"/>
      <c r="DE59" s="413"/>
      <c r="DF59" s="413"/>
      <c r="DG59" s="414"/>
      <c r="DH59" s="413"/>
      <c r="DI59" s="413"/>
      <c r="DJ59" s="413"/>
      <c r="DK59" s="413"/>
      <c r="DL59" s="413"/>
      <c r="DM59" s="413"/>
      <c r="DN59" s="413"/>
      <c r="DO59" s="413"/>
      <c r="DP59" s="413"/>
      <c r="DQ59" s="414"/>
      <c r="DR59" s="413"/>
      <c r="DS59" s="413"/>
      <c r="DT59" s="413"/>
      <c r="DU59" s="413"/>
      <c r="DV59" s="413"/>
      <c r="DW59" s="413"/>
      <c r="DX59" s="413"/>
      <c r="DY59" s="413"/>
      <c r="DZ59" s="413"/>
      <c r="EA59" s="413"/>
      <c r="EB59" s="413"/>
      <c r="EC59" s="413"/>
      <c r="ED59" s="413"/>
      <c r="EE59" s="413"/>
      <c r="EF59" s="413"/>
      <c r="EG59" s="413"/>
      <c r="EH59" s="413"/>
      <c r="EI59" s="413"/>
      <c r="EJ59" s="413"/>
      <c r="EK59" s="413"/>
      <c r="EL59" s="413"/>
      <c r="EM59" s="452"/>
      <c r="EN59" s="413"/>
      <c r="EO59" s="453"/>
      <c r="EP59" s="413"/>
      <c r="EQ59" s="434"/>
      <c r="ER59" s="434"/>
      <c r="ES59" s="434"/>
      <c r="ET59" s="434"/>
      <c r="EU59" s="434"/>
      <c r="EV59" s="434"/>
      <c r="EW59" s="434"/>
      <c r="EX59" s="434"/>
      <c r="EY59" s="434"/>
      <c r="EZ59" s="434"/>
      <c r="FA59" s="434"/>
      <c r="FB59" s="434"/>
      <c r="FC59" s="399"/>
      <c r="FD59" s="399"/>
      <c r="FE59" s="399"/>
      <c r="FF59" s="399"/>
      <c r="FG59" s="415"/>
      <c r="FH59" s="415"/>
      <c r="FI59" s="415"/>
      <c r="FJ59" s="415"/>
      <c r="FK59" s="415"/>
      <c r="FL59" s="415"/>
      <c r="FM59" s="415"/>
    </row>
    <row r="60" spans="1:169" hidden="1">
      <c r="A60" s="410" t="s">
        <v>217</v>
      </c>
      <c r="B60" s="459" t="s">
        <v>1329</v>
      </c>
      <c r="C60" s="412"/>
      <c r="D60" s="412"/>
      <c r="E60" s="412"/>
      <c r="F60" s="412"/>
      <c r="G60" s="412"/>
      <c r="H60" s="412"/>
      <c r="I60" s="412"/>
      <c r="J60" s="412"/>
      <c r="K60" s="412"/>
      <c r="L60" s="412"/>
      <c r="M60" s="413"/>
      <c r="N60" s="413"/>
      <c r="O60" s="413"/>
      <c r="P60" s="413"/>
      <c r="Q60" s="413"/>
      <c r="R60" s="413"/>
      <c r="S60" s="413"/>
      <c r="T60" s="413"/>
      <c r="U60" s="413"/>
      <c r="V60" s="413"/>
      <c r="W60" s="413"/>
      <c r="X60" s="413"/>
      <c r="Y60" s="413"/>
      <c r="Z60" s="413"/>
      <c r="AA60" s="413"/>
      <c r="AB60" s="413"/>
      <c r="AC60" s="413"/>
      <c r="AD60" s="413"/>
      <c r="AE60" s="413"/>
      <c r="AF60" s="413"/>
      <c r="AG60" s="413"/>
      <c r="AH60" s="413"/>
      <c r="AI60" s="413"/>
      <c r="AJ60" s="413"/>
      <c r="AK60" s="413"/>
      <c r="AL60" s="413"/>
      <c r="AM60" s="413"/>
      <c r="AN60" s="413"/>
      <c r="AO60" s="414"/>
      <c r="AP60" s="413"/>
      <c r="AQ60" s="413"/>
      <c r="AR60" s="413"/>
      <c r="AS60" s="413"/>
      <c r="AT60" s="413"/>
      <c r="AU60" s="413"/>
      <c r="AV60" s="413"/>
      <c r="AW60" s="413"/>
      <c r="AX60" s="413"/>
      <c r="AY60" s="414"/>
      <c r="AZ60" s="413"/>
      <c r="BA60" s="413"/>
      <c r="BB60" s="413"/>
      <c r="BC60" s="413"/>
      <c r="BD60" s="413"/>
      <c r="BE60" s="413"/>
      <c r="BF60" s="413"/>
      <c r="BG60" s="413"/>
      <c r="BH60" s="413"/>
      <c r="BI60" s="414"/>
      <c r="BJ60" s="413"/>
      <c r="BK60" s="413"/>
      <c r="BL60" s="413"/>
      <c r="BM60" s="413"/>
      <c r="BN60" s="413"/>
      <c r="BO60" s="413"/>
      <c r="BP60" s="413"/>
      <c r="BQ60" s="413"/>
      <c r="BR60" s="413"/>
      <c r="BS60" s="413"/>
      <c r="BT60" s="413"/>
      <c r="BU60" s="413"/>
      <c r="BV60" s="413"/>
      <c r="BW60" s="413"/>
      <c r="BX60" s="413"/>
      <c r="BY60" s="413"/>
      <c r="BZ60" s="413"/>
      <c r="CA60" s="413"/>
      <c r="CB60" s="413"/>
      <c r="CC60" s="413"/>
      <c r="CD60" s="413"/>
      <c r="CE60" s="413"/>
      <c r="CF60" s="413"/>
      <c r="CG60" s="413"/>
      <c r="CH60" s="413"/>
      <c r="CI60" s="413"/>
      <c r="CJ60" s="413"/>
      <c r="CK60" s="413"/>
      <c r="CL60" s="413"/>
      <c r="CM60" s="414"/>
      <c r="CN60" s="413"/>
      <c r="CO60" s="413"/>
      <c r="CP60" s="413"/>
      <c r="CQ60" s="413"/>
      <c r="CR60" s="413"/>
      <c r="CS60" s="413"/>
      <c r="CT60" s="413"/>
      <c r="CU60" s="413"/>
      <c r="CV60" s="413"/>
      <c r="CW60" s="414"/>
      <c r="CX60" s="413"/>
      <c r="CY60" s="413"/>
      <c r="CZ60" s="413"/>
      <c r="DA60" s="413"/>
      <c r="DB60" s="413"/>
      <c r="DC60" s="413"/>
      <c r="DD60" s="413"/>
      <c r="DE60" s="413"/>
      <c r="DF60" s="413"/>
      <c r="DG60" s="414"/>
      <c r="DH60" s="413"/>
      <c r="DI60" s="413"/>
      <c r="DJ60" s="413"/>
      <c r="DK60" s="413"/>
      <c r="DL60" s="413"/>
      <c r="DM60" s="413"/>
      <c r="DN60" s="413"/>
      <c r="DO60" s="413"/>
      <c r="DP60" s="413"/>
      <c r="DQ60" s="414"/>
      <c r="DR60" s="413"/>
      <c r="DS60" s="413"/>
      <c r="DT60" s="413"/>
      <c r="DU60" s="413"/>
      <c r="DV60" s="413"/>
      <c r="DW60" s="413"/>
      <c r="DX60" s="413"/>
      <c r="DY60" s="413"/>
      <c r="DZ60" s="413"/>
      <c r="EA60" s="413"/>
      <c r="EB60" s="413"/>
      <c r="EC60" s="413"/>
      <c r="ED60" s="413"/>
      <c r="EE60" s="413"/>
      <c r="EF60" s="413"/>
      <c r="EG60" s="413"/>
      <c r="EH60" s="413"/>
      <c r="EI60" s="413"/>
      <c r="EJ60" s="413"/>
      <c r="EK60" s="413"/>
      <c r="EL60" s="413"/>
      <c r="EM60" s="452"/>
      <c r="EN60" s="413"/>
      <c r="EO60" s="453"/>
      <c r="EP60" s="413"/>
      <c r="EQ60" s="434"/>
      <c r="ER60" s="434"/>
      <c r="ES60" s="434"/>
      <c r="ET60" s="434"/>
      <c r="EU60" s="434"/>
      <c r="EV60" s="434"/>
      <c r="EW60" s="434"/>
      <c r="EX60" s="434"/>
      <c r="EY60" s="434"/>
      <c r="EZ60" s="434"/>
      <c r="FA60" s="434"/>
      <c r="FB60" s="434"/>
      <c r="FC60" s="399"/>
      <c r="FD60" s="399"/>
      <c r="FE60" s="399"/>
      <c r="FF60" s="399"/>
      <c r="FG60" s="415"/>
      <c r="FH60" s="415"/>
      <c r="FI60" s="415"/>
      <c r="FJ60" s="415"/>
      <c r="FK60" s="415"/>
      <c r="FL60" s="415"/>
      <c r="FM60" s="415"/>
    </row>
    <row r="61" spans="1:169" hidden="1">
      <c r="A61" s="410" t="s">
        <v>218</v>
      </c>
      <c r="B61" s="459" t="s">
        <v>1330</v>
      </c>
      <c r="C61" s="412"/>
      <c r="D61" s="412"/>
      <c r="E61" s="412"/>
      <c r="F61" s="412"/>
      <c r="G61" s="412"/>
      <c r="H61" s="412"/>
      <c r="I61" s="412"/>
      <c r="J61" s="412"/>
      <c r="K61" s="412"/>
      <c r="L61" s="412"/>
      <c r="M61" s="413"/>
      <c r="N61" s="413"/>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4"/>
      <c r="AP61" s="413"/>
      <c r="AQ61" s="413"/>
      <c r="AR61" s="413"/>
      <c r="AS61" s="413"/>
      <c r="AT61" s="413"/>
      <c r="AU61" s="413"/>
      <c r="AV61" s="413"/>
      <c r="AW61" s="413"/>
      <c r="AX61" s="413"/>
      <c r="AY61" s="414"/>
      <c r="AZ61" s="413"/>
      <c r="BA61" s="413"/>
      <c r="BB61" s="413"/>
      <c r="BC61" s="413"/>
      <c r="BD61" s="413"/>
      <c r="BE61" s="413"/>
      <c r="BF61" s="413"/>
      <c r="BG61" s="413"/>
      <c r="BH61" s="413"/>
      <c r="BI61" s="414"/>
      <c r="BJ61" s="413"/>
      <c r="BK61" s="413"/>
      <c r="BL61" s="413"/>
      <c r="BM61" s="413"/>
      <c r="BN61" s="413"/>
      <c r="BO61" s="413"/>
      <c r="BP61" s="413"/>
      <c r="BQ61" s="413"/>
      <c r="BR61" s="413"/>
      <c r="BS61" s="413"/>
      <c r="BT61" s="413"/>
      <c r="BU61" s="413"/>
      <c r="BV61" s="413"/>
      <c r="BW61" s="413"/>
      <c r="BX61" s="413"/>
      <c r="BY61" s="413"/>
      <c r="BZ61" s="413"/>
      <c r="CA61" s="413"/>
      <c r="CB61" s="413"/>
      <c r="CC61" s="413"/>
      <c r="CD61" s="413"/>
      <c r="CE61" s="413"/>
      <c r="CF61" s="413"/>
      <c r="CG61" s="413"/>
      <c r="CH61" s="413"/>
      <c r="CI61" s="413"/>
      <c r="CJ61" s="413"/>
      <c r="CK61" s="413"/>
      <c r="CL61" s="413"/>
      <c r="CM61" s="414"/>
      <c r="CN61" s="413"/>
      <c r="CO61" s="413"/>
      <c r="CP61" s="413"/>
      <c r="CQ61" s="413"/>
      <c r="CR61" s="413"/>
      <c r="CS61" s="413"/>
      <c r="CT61" s="413"/>
      <c r="CU61" s="413"/>
      <c r="CV61" s="413"/>
      <c r="CW61" s="414"/>
      <c r="CX61" s="413"/>
      <c r="CY61" s="413"/>
      <c r="CZ61" s="413"/>
      <c r="DA61" s="413"/>
      <c r="DB61" s="413"/>
      <c r="DC61" s="413"/>
      <c r="DD61" s="413"/>
      <c r="DE61" s="413"/>
      <c r="DF61" s="413"/>
      <c r="DG61" s="414"/>
      <c r="DH61" s="413"/>
      <c r="DI61" s="413"/>
      <c r="DJ61" s="413"/>
      <c r="DK61" s="413"/>
      <c r="DL61" s="413"/>
      <c r="DM61" s="413"/>
      <c r="DN61" s="413"/>
      <c r="DO61" s="413"/>
      <c r="DP61" s="413"/>
      <c r="DQ61" s="414"/>
      <c r="DR61" s="413"/>
      <c r="DS61" s="413"/>
      <c r="DT61" s="413"/>
      <c r="DU61" s="413"/>
      <c r="DV61" s="413"/>
      <c r="DW61" s="413"/>
      <c r="DX61" s="413"/>
      <c r="DY61" s="413"/>
      <c r="DZ61" s="413"/>
      <c r="EA61" s="413"/>
      <c r="EB61" s="413"/>
      <c r="EC61" s="413"/>
      <c r="ED61" s="413"/>
      <c r="EE61" s="413"/>
      <c r="EF61" s="413"/>
      <c r="EG61" s="413"/>
      <c r="EH61" s="413"/>
      <c r="EI61" s="413"/>
      <c r="EJ61" s="413"/>
      <c r="EK61" s="413"/>
      <c r="EL61" s="413"/>
      <c r="EM61" s="452"/>
      <c r="EN61" s="413"/>
      <c r="EO61" s="453"/>
      <c r="EP61" s="413"/>
      <c r="EQ61" s="434"/>
      <c r="ER61" s="434"/>
      <c r="ES61" s="434"/>
      <c r="ET61" s="434"/>
      <c r="EU61" s="434"/>
      <c r="EV61" s="434"/>
      <c r="EW61" s="434"/>
      <c r="EX61" s="434"/>
      <c r="EY61" s="434"/>
      <c r="EZ61" s="434"/>
      <c r="FA61" s="434"/>
      <c r="FB61" s="434"/>
      <c r="FC61" s="399"/>
      <c r="FD61" s="399"/>
      <c r="FE61" s="399"/>
      <c r="FF61" s="399"/>
      <c r="FG61" s="415"/>
      <c r="FH61" s="415"/>
      <c r="FI61" s="415"/>
      <c r="FJ61" s="415"/>
      <c r="FK61" s="415"/>
      <c r="FL61" s="415"/>
      <c r="FM61" s="415"/>
    </row>
    <row r="62" spans="1:169" hidden="1">
      <c r="A62" s="410" t="s">
        <v>1297</v>
      </c>
      <c r="B62" s="463"/>
      <c r="C62" s="412"/>
      <c r="D62" s="412"/>
      <c r="E62" s="412"/>
      <c r="F62" s="412"/>
      <c r="G62" s="412"/>
      <c r="H62" s="412"/>
      <c r="I62" s="412"/>
      <c r="J62" s="412"/>
      <c r="K62" s="412"/>
      <c r="L62" s="412"/>
      <c r="M62" s="413"/>
      <c r="N62" s="413"/>
      <c r="O62" s="413"/>
      <c r="P62" s="413"/>
      <c r="Q62" s="413"/>
      <c r="R62" s="413"/>
      <c r="S62" s="413"/>
      <c r="T62" s="413"/>
      <c r="U62" s="413"/>
      <c r="V62" s="413"/>
      <c r="W62" s="413"/>
      <c r="X62" s="413"/>
      <c r="Y62" s="413"/>
      <c r="Z62" s="413"/>
      <c r="AA62" s="413"/>
      <c r="AB62" s="413"/>
      <c r="AC62" s="413"/>
      <c r="AD62" s="413"/>
      <c r="AE62" s="413"/>
      <c r="AF62" s="413"/>
      <c r="AG62" s="413"/>
      <c r="AH62" s="413"/>
      <c r="AI62" s="413"/>
      <c r="AJ62" s="413"/>
      <c r="AK62" s="413"/>
      <c r="AL62" s="413"/>
      <c r="AM62" s="413"/>
      <c r="AN62" s="413"/>
      <c r="AO62" s="414"/>
      <c r="AP62" s="413"/>
      <c r="AQ62" s="413"/>
      <c r="AR62" s="413"/>
      <c r="AS62" s="413"/>
      <c r="AT62" s="413"/>
      <c r="AU62" s="413"/>
      <c r="AV62" s="413"/>
      <c r="AW62" s="413"/>
      <c r="AX62" s="413"/>
      <c r="AY62" s="414"/>
      <c r="AZ62" s="413"/>
      <c r="BA62" s="413"/>
      <c r="BB62" s="413"/>
      <c r="BC62" s="413"/>
      <c r="BD62" s="413"/>
      <c r="BE62" s="413"/>
      <c r="BF62" s="413"/>
      <c r="BG62" s="413"/>
      <c r="BH62" s="413"/>
      <c r="BI62" s="414"/>
      <c r="BJ62" s="413"/>
      <c r="BK62" s="413"/>
      <c r="BL62" s="413"/>
      <c r="BM62" s="413"/>
      <c r="BN62" s="413"/>
      <c r="BO62" s="413"/>
      <c r="BP62" s="413"/>
      <c r="BQ62" s="413"/>
      <c r="BR62" s="413"/>
      <c r="BS62" s="413"/>
      <c r="BT62" s="413"/>
      <c r="BU62" s="413"/>
      <c r="BV62" s="413"/>
      <c r="BW62" s="413"/>
      <c r="BX62" s="413"/>
      <c r="BY62" s="413"/>
      <c r="BZ62" s="413"/>
      <c r="CA62" s="413"/>
      <c r="CB62" s="413"/>
      <c r="CC62" s="413"/>
      <c r="CD62" s="413"/>
      <c r="CE62" s="413"/>
      <c r="CF62" s="413"/>
      <c r="CG62" s="413"/>
      <c r="CH62" s="413"/>
      <c r="CI62" s="413"/>
      <c r="CJ62" s="413"/>
      <c r="CK62" s="413"/>
      <c r="CL62" s="413"/>
      <c r="CM62" s="414"/>
      <c r="CN62" s="413"/>
      <c r="CO62" s="413"/>
      <c r="CP62" s="413"/>
      <c r="CQ62" s="413"/>
      <c r="CR62" s="413"/>
      <c r="CS62" s="413"/>
      <c r="CT62" s="413"/>
      <c r="CU62" s="413"/>
      <c r="CV62" s="413"/>
      <c r="CW62" s="414"/>
      <c r="CX62" s="413"/>
      <c r="CY62" s="413"/>
      <c r="CZ62" s="413"/>
      <c r="DA62" s="413"/>
      <c r="DB62" s="413"/>
      <c r="DC62" s="413"/>
      <c r="DD62" s="413"/>
      <c r="DE62" s="413"/>
      <c r="DF62" s="413"/>
      <c r="DG62" s="414"/>
      <c r="DH62" s="413"/>
      <c r="DI62" s="413"/>
      <c r="DJ62" s="413"/>
      <c r="DK62" s="413"/>
      <c r="DL62" s="413"/>
      <c r="DM62" s="413"/>
      <c r="DN62" s="413"/>
      <c r="DO62" s="413"/>
      <c r="DP62" s="413"/>
      <c r="DQ62" s="414"/>
      <c r="DR62" s="413"/>
      <c r="DS62" s="413"/>
      <c r="DT62" s="413"/>
      <c r="DU62" s="413"/>
      <c r="DV62" s="413"/>
      <c r="DW62" s="413"/>
      <c r="DX62" s="413"/>
      <c r="DY62" s="413"/>
      <c r="DZ62" s="413"/>
      <c r="EA62" s="413"/>
      <c r="EB62" s="413"/>
      <c r="EC62" s="413"/>
      <c r="ED62" s="413"/>
      <c r="EE62" s="413"/>
      <c r="EF62" s="413"/>
      <c r="EG62" s="413"/>
      <c r="EH62" s="413"/>
      <c r="EI62" s="413"/>
      <c r="EJ62" s="413"/>
      <c r="EK62" s="413"/>
      <c r="EL62" s="413"/>
      <c r="EM62" s="452"/>
      <c r="EN62" s="413"/>
      <c r="EO62" s="453"/>
      <c r="EP62" s="413"/>
      <c r="EQ62" s="434"/>
      <c r="ER62" s="434"/>
      <c r="ES62" s="434"/>
      <c r="ET62" s="434"/>
      <c r="EU62" s="434"/>
      <c r="EV62" s="434"/>
      <c r="EW62" s="434"/>
      <c r="EX62" s="434"/>
      <c r="EY62" s="434"/>
      <c r="EZ62" s="434"/>
      <c r="FA62" s="434"/>
      <c r="FB62" s="434"/>
      <c r="FC62" s="399"/>
      <c r="FD62" s="399"/>
      <c r="FE62" s="399"/>
      <c r="FF62" s="399"/>
      <c r="FG62" s="415"/>
      <c r="FH62" s="415"/>
      <c r="FI62" s="415"/>
      <c r="FJ62" s="415"/>
      <c r="FK62" s="415"/>
      <c r="FL62" s="415"/>
      <c r="FM62" s="415"/>
    </row>
    <row r="63" spans="1:169" hidden="1">
      <c r="A63" s="410"/>
      <c r="B63" s="463" t="s">
        <v>672</v>
      </c>
      <c r="C63" s="412"/>
      <c r="D63" s="412"/>
      <c r="E63" s="412"/>
      <c r="F63" s="412"/>
      <c r="G63" s="412"/>
      <c r="H63" s="412"/>
      <c r="I63" s="412"/>
      <c r="J63" s="412"/>
      <c r="K63" s="412"/>
      <c r="L63" s="412"/>
      <c r="M63" s="413"/>
      <c r="N63" s="413"/>
      <c r="O63" s="413"/>
      <c r="P63" s="413"/>
      <c r="Q63" s="413"/>
      <c r="R63" s="413"/>
      <c r="S63" s="413"/>
      <c r="T63" s="413"/>
      <c r="U63" s="413"/>
      <c r="V63" s="413"/>
      <c r="W63" s="413"/>
      <c r="X63" s="413"/>
      <c r="Y63" s="413"/>
      <c r="Z63" s="413"/>
      <c r="AA63" s="413"/>
      <c r="AB63" s="413"/>
      <c r="AC63" s="413"/>
      <c r="AD63" s="413"/>
      <c r="AE63" s="413"/>
      <c r="AF63" s="413"/>
      <c r="AG63" s="413"/>
      <c r="AH63" s="413"/>
      <c r="AI63" s="413"/>
      <c r="AJ63" s="413"/>
      <c r="AK63" s="413"/>
      <c r="AL63" s="413"/>
      <c r="AM63" s="413"/>
      <c r="AN63" s="413"/>
      <c r="AO63" s="414"/>
      <c r="AP63" s="413"/>
      <c r="AQ63" s="413"/>
      <c r="AR63" s="413"/>
      <c r="AS63" s="413"/>
      <c r="AT63" s="413"/>
      <c r="AU63" s="413"/>
      <c r="AV63" s="413"/>
      <c r="AW63" s="413"/>
      <c r="AX63" s="413"/>
      <c r="AY63" s="414"/>
      <c r="AZ63" s="413"/>
      <c r="BA63" s="413"/>
      <c r="BB63" s="413"/>
      <c r="BC63" s="413"/>
      <c r="BD63" s="413"/>
      <c r="BE63" s="413"/>
      <c r="BF63" s="413"/>
      <c r="BG63" s="413"/>
      <c r="BH63" s="413"/>
      <c r="BI63" s="414"/>
      <c r="BJ63" s="413"/>
      <c r="BK63" s="413"/>
      <c r="BL63" s="413"/>
      <c r="BM63" s="413"/>
      <c r="BN63" s="413"/>
      <c r="BO63" s="413"/>
      <c r="BP63" s="413"/>
      <c r="BQ63" s="413"/>
      <c r="BR63" s="413"/>
      <c r="BS63" s="413"/>
      <c r="BT63" s="413"/>
      <c r="BU63" s="413"/>
      <c r="BV63" s="413"/>
      <c r="BW63" s="413"/>
      <c r="BX63" s="413"/>
      <c r="BY63" s="413"/>
      <c r="BZ63" s="413"/>
      <c r="CA63" s="413"/>
      <c r="CB63" s="413"/>
      <c r="CC63" s="413"/>
      <c r="CD63" s="413"/>
      <c r="CE63" s="413"/>
      <c r="CF63" s="413"/>
      <c r="CG63" s="413"/>
      <c r="CH63" s="413"/>
      <c r="CI63" s="413"/>
      <c r="CJ63" s="413"/>
      <c r="CK63" s="413"/>
      <c r="CL63" s="413"/>
      <c r="CM63" s="414"/>
      <c r="CN63" s="413"/>
      <c r="CO63" s="413"/>
      <c r="CP63" s="413"/>
      <c r="CQ63" s="413"/>
      <c r="CR63" s="413"/>
      <c r="CS63" s="413"/>
      <c r="CT63" s="413"/>
      <c r="CU63" s="413"/>
      <c r="CV63" s="413"/>
      <c r="CW63" s="414"/>
      <c r="CX63" s="413"/>
      <c r="CY63" s="413"/>
      <c r="CZ63" s="413"/>
      <c r="DA63" s="413"/>
      <c r="DB63" s="413"/>
      <c r="DC63" s="413"/>
      <c r="DD63" s="413"/>
      <c r="DE63" s="413"/>
      <c r="DF63" s="413"/>
      <c r="DG63" s="414"/>
      <c r="DH63" s="413"/>
      <c r="DI63" s="413"/>
      <c r="DJ63" s="413"/>
      <c r="DK63" s="413"/>
      <c r="DL63" s="413"/>
      <c r="DM63" s="413"/>
      <c r="DN63" s="413"/>
      <c r="DO63" s="413"/>
      <c r="DP63" s="413"/>
      <c r="DQ63" s="414"/>
      <c r="DR63" s="413"/>
      <c r="DS63" s="413"/>
      <c r="DT63" s="413"/>
      <c r="DU63" s="413"/>
      <c r="DV63" s="413"/>
      <c r="DW63" s="413"/>
      <c r="DX63" s="413"/>
      <c r="DY63" s="413"/>
      <c r="DZ63" s="413"/>
      <c r="EA63" s="413"/>
      <c r="EB63" s="413"/>
      <c r="EC63" s="413"/>
      <c r="ED63" s="413"/>
      <c r="EE63" s="413"/>
      <c r="EF63" s="413"/>
      <c r="EG63" s="413"/>
      <c r="EH63" s="413"/>
      <c r="EI63" s="413"/>
      <c r="EJ63" s="413"/>
      <c r="EK63" s="413"/>
      <c r="EL63" s="413"/>
      <c r="EM63" s="452"/>
      <c r="EN63" s="413"/>
      <c r="EO63" s="453"/>
      <c r="EP63" s="413"/>
      <c r="EQ63" s="434"/>
      <c r="ER63" s="434"/>
      <c r="ES63" s="434"/>
      <c r="ET63" s="434"/>
      <c r="EU63" s="434"/>
      <c r="EV63" s="434"/>
      <c r="EW63" s="434"/>
      <c r="EX63" s="434"/>
      <c r="EY63" s="434"/>
      <c r="EZ63" s="434"/>
      <c r="FA63" s="434"/>
      <c r="FB63" s="434"/>
      <c r="FC63" s="399"/>
      <c r="FD63" s="399"/>
      <c r="FE63" s="399"/>
      <c r="FF63" s="399"/>
      <c r="FG63" s="415"/>
      <c r="FH63" s="415"/>
      <c r="FI63" s="415"/>
      <c r="FJ63" s="415"/>
      <c r="FK63" s="415"/>
      <c r="FL63" s="415"/>
      <c r="FM63" s="415"/>
    </row>
    <row r="64" spans="1:169" hidden="1">
      <c r="A64" s="410"/>
      <c r="B64" s="57" t="s">
        <v>153</v>
      </c>
      <c r="C64" s="412"/>
      <c r="D64" s="412"/>
      <c r="E64" s="412"/>
      <c r="F64" s="412"/>
      <c r="G64" s="412"/>
      <c r="H64" s="412"/>
      <c r="I64" s="412"/>
      <c r="J64" s="412"/>
      <c r="K64" s="412"/>
      <c r="L64" s="412"/>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3"/>
      <c r="AL64" s="413"/>
      <c r="AM64" s="413"/>
      <c r="AN64" s="413"/>
      <c r="AO64" s="414"/>
      <c r="AP64" s="413"/>
      <c r="AQ64" s="413"/>
      <c r="AR64" s="413"/>
      <c r="AS64" s="413"/>
      <c r="AT64" s="413"/>
      <c r="AU64" s="413"/>
      <c r="AV64" s="413"/>
      <c r="AW64" s="413"/>
      <c r="AX64" s="413"/>
      <c r="AY64" s="414"/>
      <c r="AZ64" s="413"/>
      <c r="BA64" s="413"/>
      <c r="BB64" s="413"/>
      <c r="BC64" s="413"/>
      <c r="BD64" s="413"/>
      <c r="BE64" s="413"/>
      <c r="BF64" s="413"/>
      <c r="BG64" s="413"/>
      <c r="BH64" s="413"/>
      <c r="BI64" s="414"/>
      <c r="BJ64" s="413"/>
      <c r="BK64" s="413"/>
      <c r="BL64" s="413"/>
      <c r="BM64" s="413"/>
      <c r="BN64" s="413"/>
      <c r="BO64" s="413"/>
      <c r="BP64" s="413"/>
      <c r="BQ64" s="413"/>
      <c r="BR64" s="413"/>
      <c r="BS64" s="413"/>
      <c r="BT64" s="413"/>
      <c r="BU64" s="413"/>
      <c r="BV64" s="413"/>
      <c r="BW64" s="413"/>
      <c r="BX64" s="413"/>
      <c r="BY64" s="413"/>
      <c r="BZ64" s="413"/>
      <c r="CA64" s="413"/>
      <c r="CB64" s="413"/>
      <c r="CC64" s="413"/>
      <c r="CD64" s="413"/>
      <c r="CE64" s="413"/>
      <c r="CF64" s="413"/>
      <c r="CG64" s="413"/>
      <c r="CH64" s="413"/>
      <c r="CI64" s="413"/>
      <c r="CJ64" s="413"/>
      <c r="CK64" s="413"/>
      <c r="CL64" s="413"/>
      <c r="CM64" s="414"/>
      <c r="CN64" s="413"/>
      <c r="CO64" s="413"/>
      <c r="CP64" s="413"/>
      <c r="CQ64" s="413"/>
      <c r="CR64" s="413"/>
      <c r="CS64" s="413"/>
      <c r="CT64" s="413"/>
      <c r="CU64" s="413"/>
      <c r="CV64" s="413"/>
      <c r="CW64" s="414"/>
      <c r="CX64" s="413"/>
      <c r="CY64" s="413"/>
      <c r="CZ64" s="413"/>
      <c r="DA64" s="413"/>
      <c r="DB64" s="413"/>
      <c r="DC64" s="413"/>
      <c r="DD64" s="413"/>
      <c r="DE64" s="413"/>
      <c r="DF64" s="413"/>
      <c r="DG64" s="414"/>
      <c r="DH64" s="413"/>
      <c r="DI64" s="413"/>
      <c r="DJ64" s="413"/>
      <c r="DK64" s="413"/>
      <c r="DL64" s="413"/>
      <c r="DM64" s="413"/>
      <c r="DN64" s="413"/>
      <c r="DO64" s="413"/>
      <c r="DP64" s="413"/>
      <c r="DQ64" s="414"/>
      <c r="DR64" s="413"/>
      <c r="DS64" s="413"/>
      <c r="DT64" s="413"/>
      <c r="DU64" s="413"/>
      <c r="DV64" s="413"/>
      <c r="DW64" s="413"/>
      <c r="DX64" s="413"/>
      <c r="DY64" s="413"/>
      <c r="DZ64" s="413"/>
      <c r="EA64" s="413"/>
      <c r="EB64" s="413"/>
      <c r="EC64" s="413"/>
      <c r="ED64" s="413"/>
      <c r="EE64" s="413"/>
      <c r="EF64" s="413"/>
      <c r="EG64" s="413"/>
      <c r="EH64" s="413"/>
      <c r="EI64" s="413"/>
      <c r="EJ64" s="413"/>
      <c r="EK64" s="413"/>
      <c r="EL64" s="413"/>
      <c r="EM64" s="452"/>
      <c r="EN64" s="413"/>
      <c r="EO64" s="453"/>
      <c r="EP64" s="413"/>
      <c r="EQ64" s="434"/>
      <c r="ER64" s="434"/>
      <c r="ES64" s="434"/>
      <c r="ET64" s="434"/>
      <c r="EU64" s="434"/>
      <c r="EV64" s="434"/>
      <c r="EW64" s="434"/>
      <c r="EX64" s="434"/>
      <c r="EY64" s="434"/>
      <c r="EZ64" s="434"/>
      <c r="FA64" s="434"/>
      <c r="FB64" s="434"/>
      <c r="FC64" s="399"/>
      <c r="FD64" s="399"/>
      <c r="FE64" s="399"/>
      <c r="FF64" s="399"/>
      <c r="FG64" s="415"/>
      <c r="FH64" s="415"/>
      <c r="FI64" s="415"/>
      <c r="FJ64" s="415"/>
      <c r="FK64" s="415"/>
      <c r="FL64" s="415"/>
      <c r="FM64" s="415"/>
    </row>
    <row r="65" spans="1:169" hidden="1">
      <c r="A65" s="410"/>
      <c r="B65" s="460"/>
      <c r="C65" s="412"/>
      <c r="D65" s="412"/>
      <c r="E65" s="412"/>
      <c r="F65" s="412"/>
      <c r="G65" s="412"/>
      <c r="H65" s="412"/>
      <c r="I65" s="412"/>
      <c r="J65" s="412"/>
      <c r="K65" s="412"/>
      <c r="L65" s="412"/>
      <c r="M65" s="413"/>
      <c r="N65" s="413"/>
      <c r="O65" s="413"/>
      <c r="P65" s="413"/>
      <c r="Q65" s="413"/>
      <c r="R65" s="413"/>
      <c r="S65" s="413"/>
      <c r="T65" s="413"/>
      <c r="U65" s="413"/>
      <c r="V65" s="413"/>
      <c r="W65" s="413"/>
      <c r="X65" s="413"/>
      <c r="Y65" s="413"/>
      <c r="Z65" s="413"/>
      <c r="AA65" s="413"/>
      <c r="AB65" s="413"/>
      <c r="AC65" s="413"/>
      <c r="AD65" s="413"/>
      <c r="AE65" s="413"/>
      <c r="AF65" s="413"/>
      <c r="AG65" s="413"/>
      <c r="AH65" s="413"/>
      <c r="AI65" s="413"/>
      <c r="AJ65" s="413"/>
      <c r="AK65" s="413"/>
      <c r="AL65" s="413"/>
      <c r="AM65" s="413"/>
      <c r="AN65" s="413"/>
      <c r="AO65" s="414"/>
      <c r="AP65" s="413"/>
      <c r="AQ65" s="413"/>
      <c r="AR65" s="413"/>
      <c r="AS65" s="413"/>
      <c r="AT65" s="413"/>
      <c r="AU65" s="413"/>
      <c r="AV65" s="413"/>
      <c r="AW65" s="413"/>
      <c r="AX65" s="413"/>
      <c r="AY65" s="414"/>
      <c r="AZ65" s="413"/>
      <c r="BA65" s="413"/>
      <c r="BB65" s="413"/>
      <c r="BC65" s="413"/>
      <c r="BD65" s="413"/>
      <c r="BE65" s="413"/>
      <c r="BF65" s="413"/>
      <c r="BG65" s="413"/>
      <c r="BH65" s="413"/>
      <c r="BI65" s="414"/>
      <c r="BJ65" s="413"/>
      <c r="BK65" s="413"/>
      <c r="BL65" s="413"/>
      <c r="BM65" s="413"/>
      <c r="BN65" s="413"/>
      <c r="BO65" s="413"/>
      <c r="BP65" s="413"/>
      <c r="BQ65" s="413"/>
      <c r="BR65" s="413"/>
      <c r="BS65" s="413"/>
      <c r="BT65" s="413"/>
      <c r="BU65" s="413"/>
      <c r="BV65" s="413"/>
      <c r="BW65" s="413"/>
      <c r="BX65" s="413"/>
      <c r="BY65" s="413"/>
      <c r="BZ65" s="413"/>
      <c r="CA65" s="413"/>
      <c r="CB65" s="413"/>
      <c r="CC65" s="413"/>
      <c r="CD65" s="413"/>
      <c r="CE65" s="413"/>
      <c r="CF65" s="413"/>
      <c r="CG65" s="413"/>
      <c r="CH65" s="413"/>
      <c r="CI65" s="413"/>
      <c r="CJ65" s="413"/>
      <c r="CK65" s="413"/>
      <c r="CL65" s="413"/>
      <c r="CM65" s="414"/>
      <c r="CN65" s="413"/>
      <c r="CO65" s="413"/>
      <c r="CP65" s="413"/>
      <c r="CQ65" s="413"/>
      <c r="CR65" s="413"/>
      <c r="CS65" s="413"/>
      <c r="CT65" s="413"/>
      <c r="CU65" s="413"/>
      <c r="CV65" s="413"/>
      <c r="CW65" s="414"/>
      <c r="CX65" s="413"/>
      <c r="CY65" s="413"/>
      <c r="CZ65" s="413"/>
      <c r="DA65" s="413"/>
      <c r="DB65" s="413"/>
      <c r="DC65" s="413"/>
      <c r="DD65" s="413"/>
      <c r="DE65" s="413"/>
      <c r="DF65" s="413"/>
      <c r="DG65" s="414"/>
      <c r="DH65" s="413"/>
      <c r="DI65" s="413"/>
      <c r="DJ65" s="413"/>
      <c r="DK65" s="413"/>
      <c r="DL65" s="413"/>
      <c r="DM65" s="413"/>
      <c r="DN65" s="413"/>
      <c r="DO65" s="413"/>
      <c r="DP65" s="413"/>
      <c r="DQ65" s="414"/>
      <c r="DR65" s="413"/>
      <c r="DS65" s="413"/>
      <c r="DT65" s="413"/>
      <c r="DU65" s="413"/>
      <c r="DV65" s="413"/>
      <c r="DW65" s="413"/>
      <c r="DX65" s="413"/>
      <c r="DY65" s="413"/>
      <c r="DZ65" s="413"/>
      <c r="EA65" s="413"/>
      <c r="EB65" s="413"/>
      <c r="EC65" s="413"/>
      <c r="ED65" s="413"/>
      <c r="EE65" s="413"/>
      <c r="EF65" s="413"/>
      <c r="EG65" s="413"/>
      <c r="EH65" s="413"/>
      <c r="EI65" s="413"/>
      <c r="EJ65" s="413"/>
      <c r="EK65" s="413"/>
      <c r="EL65" s="413"/>
      <c r="EM65" s="452"/>
      <c r="EN65" s="413"/>
      <c r="EO65" s="453"/>
      <c r="EP65" s="413"/>
      <c r="EQ65" s="434"/>
      <c r="ER65" s="434"/>
      <c r="ES65" s="434"/>
      <c r="ET65" s="434"/>
      <c r="EU65" s="434"/>
      <c r="EV65" s="434"/>
      <c r="EW65" s="434"/>
      <c r="EX65" s="434"/>
      <c r="EY65" s="434"/>
      <c r="EZ65" s="434"/>
      <c r="FA65" s="434"/>
      <c r="FB65" s="434"/>
      <c r="FC65" s="399"/>
      <c r="FD65" s="399"/>
      <c r="FE65" s="399"/>
      <c r="FF65" s="399"/>
      <c r="FG65" s="415"/>
      <c r="FH65" s="415"/>
      <c r="FI65" s="415"/>
      <c r="FJ65" s="415"/>
      <c r="FK65" s="415"/>
      <c r="FL65" s="415"/>
      <c r="FM65" s="415"/>
    </row>
    <row r="66" spans="1:169" hidden="1">
      <c r="A66" s="462" t="s">
        <v>20</v>
      </c>
      <c r="B66" s="460" t="s">
        <v>1331</v>
      </c>
      <c r="C66" s="412"/>
      <c r="D66" s="412"/>
      <c r="E66" s="412"/>
      <c r="F66" s="412"/>
      <c r="G66" s="412"/>
      <c r="H66" s="412"/>
      <c r="I66" s="412"/>
      <c r="J66" s="412"/>
      <c r="K66" s="412"/>
      <c r="L66" s="412"/>
      <c r="M66" s="413"/>
      <c r="N66" s="413"/>
      <c r="O66" s="413"/>
      <c r="P66" s="413"/>
      <c r="Q66" s="413"/>
      <c r="R66" s="413"/>
      <c r="S66" s="413"/>
      <c r="T66" s="413"/>
      <c r="U66" s="413"/>
      <c r="V66" s="413"/>
      <c r="W66" s="413"/>
      <c r="X66" s="413"/>
      <c r="Y66" s="413"/>
      <c r="Z66" s="413"/>
      <c r="AA66" s="413"/>
      <c r="AB66" s="413"/>
      <c r="AC66" s="413"/>
      <c r="AD66" s="413"/>
      <c r="AE66" s="413"/>
      <c r="AF66" s="413"/>
      <c r="AG66" s="413"/>
      <c r="AH66" s="413"/>
      <c r="AI66" s="413"/>
      <c r="AJ66" s="413"/>
      <c r="AK66" s="413"/>
      <c r="AL66" s="413"/>
      <c r="AM66" s="413"/>
      <c r="AN66" s="413"/>
      <c r="AO66" s="414"/>
      <c r="AP66" s="413"/>
      <c r="AQ66" s="413"/>
      <c r="AR66" s="413"/>
      <c r="AS66" s="413"/>
      <c r="AT66" s="413"/>
      <c r="AU66" s="413"/>
      <c r="AV66" s="413"/>
      <c r="AW66" s="413"/>
      <c r="AX66" s="413"/>
      <c r="AY66" s="414"/>
      <c r="AZ66" s="413"/>
      <c r="BA66" s="413"/>
      <c r="BB66" s="413"/>
      <c r="BC66" s="413"/>
      <c r="BD66" s="413"/>
      <c r="BE66" s="413"/>
      <c r="BF66" s="413"/>
      <c r="BG66" s="413"/>
      <c r="BH66" s="413"/>
      <c r="BI66" s="414"/>
      <c r="BJ66" s="413"/>
      <c r="BK66" s="413"/>
      <c r="BL66" s="413"/>
      <c r="BM66" s="413"/>
      <c r="BN66" s="413"/>
      <c r="BO66" s="413"/>
      <c r="BP66" s="413"/>
      <c r="BQ66" s="413"/>
      <c r="BR66" s="413"/>
      <c r="BS66" s="413"/>
      <c r="BT66" s="413"/>
      <c r="BU66" s="413"/>
      <c r="BV66" s="413"/>
      <c r="BW66" s="413"/>
      <c r="BX66" s="413"/>
      <c r="BY66" s="413"/>
      <c r="BZ66" s="413"/>
      <c r="CA66" s="413"/>
      <c r="CB66" s="413"/>
      <c r="CC66" s="413"/>
      <c r="CD66" s="413"/>
      <c r="CE66" s="413"/>
      <c r="CF66" s="413"/>
      <c r="CG66" s="413"/>
      <c r="CH66" s="413"/>
      <c r="CI66" s="413"/>
      <c r="CJ66" s="413"/>
      <c r="CK66" s="413"/>
      <c r="CL66" s="413"/>
      <c r="CM66" s="414"/>
      <c r="CN66" s="413"/>
      <c r="CO66" s="413"/>
      <c r="CP66" s="413"/>
      <c r="CQ66" s="413"/>
      <c r="CR66" s="413"/>
      <c r="CS66" s="413"/>
      <c r="CT66" s="413"/>
      <c r="CU66" s="413"/>
      <c r="CV66" s="413"/>
      <c r="CW66" s="414"/>
      <c r="CX66" s="413"/>
      <c r="CY66" s="413"/>
      <c r="CZ66" s="413"/>
      <c r="DA66" s="413"/>
      <c r="DB66" s="413"/>
      <c r="DC66" s="413"/>
      <c r="DD66" s="413"/>
      <c r="DE66" s="413"/>
      <c r="DF66" s="413"/>
      <c r="DG66" s="414"/>
      <c r="DH66" s="413"/>
      <c r="DI66" s="413"/>
      <c r="DJ66" s="413"/>
      <c r="DK66" s="413"/>
      <c r="DL66" s="413"/>
      <c r="DM66" s="413"/>
      <c r="DN66" s="413"/>
      <c r="DO66" s="413"/>
      <c r="DP66" s="413"/>
      <c r="DQ66" s="414"/>
      <c r="DR66" s="413"/>
      <c r="DS66" s="413"/>
      <c r="DT66" s="413"/>
      <c r="DU66" s="413"/>
      <c r="DV66" s="413"/>
      <c r="DW66" s="413"/>
      <c r="DX66" s="413"/>
      <c r="DY66" s="413"/>
      <c r="DZ66" s="413"/>
      <c r="EA66" s="413"/>
      <c r="EB66" s="413"/>
      <c r="EC66" s="413"/>
      <c r="ED66" s="413"/>
      <c r="EE66" s="413"/>
      <c r="EF66" s="413"/>
      <c r="EG66" s="413"/>
      <c r="EH66" s="413"/>
      <c r="EI66" s="413"/>
      <c r="EJ66" s="413"/>
      <c r="EK66" s="413"/>
      <c r="EL66" s="413"/>
      <c r="EM66" s="452"/>
      <c r="EN66" s="413"/>
      <c r="EO66" s="453"/>
      <c r="EP66" s="413"/>
      <c r="EQ66" s="434"/>
      <c r="ER66" s="434"/>
      <c r="ES66" s="434"/>
      <c r="ET66" s="434"/>
      <c r="EU66" s="434"/>
      <c r="EV66" s="434"/>
      <c r="EW66" s="434"/>
      <c r="EX66" s="434"/>
      <c r="EY66" s="434"/>
      <c r="EZ66" s="434"/>
      <c r="FA66" s="434"/>
      <c r="FB66" s="434"/>
      <c r="FC66" s="399"/>
      <c r="FD66" s="399"/>
      <c r="FE66" s="399"/>
      <c r="FF66" s="399"/>
      <c r="FG66" s="415"/>
      <c r="FH66" s="415"/>
      <c r="FI66" s="415"/>
      <c r="FJ66" s="415"/>
      <c r="FK66" s="415"/>
      <c r="FL66" s="415"/>
      <c r="FM66" s="415"/>
    </row>
    <row r="67" spans="1:169" hidden="1">
      <c r="A67" s="410" t="s">
        <v>82</v>
      </c>
      <c r="B67" s="465" t="s">
        <v>1332</v>
      </c>
      <c r="C67" s="412"/>
      <c r="D67" s="412"/>
      <c r="E67" s="412"/>
      <c r="F67" s="412"/>
      <c r="G67" s="412"/>
      <c r="H67" s="412"/>
      <c r="I67" s="412"/>
      <c r="J67" s="412"/>
      <c r="K67" s="412"/>
      <c r="L67" s="412"/>
      <c r="M67" s="413"/>
      <c r="N67" s="413"/>
      <c r="O67" s="413"/>
      <c r="P67" s="413"/>
      <c r="Q67" s="413"/>
      <c r="R67" s="413"/>
      <c r="S67" s="413"/>
      <c r="T67" s="413"/>
      <c r="U67" s="413"/>
      <c r="V67" s="413"/>
      <c r="W67" s="413"/>
      <c r="X67" s="413"/>
      <c r="Y67" s="413"/>
      <c r="Z67" s="413"/>
      <c r="AA67" s="413"/>
      <c r="AB67" s="413"/>
      <c r="AC67" s="413"/>
      <c r="AD67" s="413"/>
      <c r="AE67" s="413"/>
      <c r="AF67" s="413"/>
      <c r="AG67" s="413"/>
      <c r="AH67" s="413"/>
      <c r="AI67" s="413"/>
      <c r="AJ67" s="413"/>
      <c r="AK67" s="413"/>
      <c r="AL67" s="413"/>
      <c r="AM67" s="413"/>
      <c r="AN67" s="413"/>
      <c r="AO67" s="414"/>
      <c r="AP67" s="413"/>
      <c r="AQ67" s="413"/>
      <c r="AR67" s="413"/>
      <c r="AS67" s="413"/>
      <c r="AT67" s="413"/>
      <c r="AU67" s="413"/>
      <c r="AV67" s="413"/>
      <c r="AW67" s="413"/>
      <c r="AX67" s="413"/>
      <c r="AY67" s="414"/>
      <c r="AZ67" s="413"/>
      <c r="BA67" s="413"/>
      <c r="BB67" s="413"/>
      <c r="BC67" s="413"/>
      <c r="BD67" s="413"/>
      <c r="BE67" s="413"/>
      <c r="BF67" s="413"/>
      <c r="BG67" s="413"/>
      <c r="BH67" s="413"/>
      <c r="BI67" s="414"/>
      <c r="BJ67" s="413"/>
      <c r="BK67" s="413"/>
      <c r="BL67" s="413"/>
      <c r="BM67" s="413"/>
      <c r="BN67" s="413"/>
      <c r="BO67" s="413"/>
      <c r="BP67" s="413"/>
      <c r="BQ67" s="413"/>
      <c r="BR67" s="413"/>
      <c r="BS67" s="413"/>
      <c r="BT67" s="413"/>
      <c r="BU67" s="413"/>
      <c r="BV67" s="413"/>
      <c r="BW67" s="413"/>
      <c r="BX67" s="413"/>
      <c r="BY67" s="413"/>
      <c r="BZ67" s="413"/>
      <c r="CA67" s="413"/>
      <c r="CB67" s="413"/>
      <c r="CC67" s="413"/>
      <c r="CD67" s="413"/>
      <c r="CE67" s="413"/>
      <c r="CF67" s="413"/>
      <c r="CG67" s="413"/>
      <c r="CH67" s="413"/>
      <c r="CI67" s="413"/>
      <c r="CJ67" s="413"/>
      <c r="CK67" s="413"/>
      <c r="CL67" s="413"/>
      <c r="CM67" s="414"/>
      <c r="CN67" s="413"/>
      <c r="CO67" s="413"/>
      <c r="CP67" s="413"/>
      <c r="CQ67" s="413"/>
      <c r="CR67" s="413"/>
      <c r="CS67" s="413"/>
      <c r="CT67" s="413"/>
      <c r="CU67" s="413"/>
      <c r="CV67" s="413"/>
      <c r="CW67" s="414"/>
      <c r="CX67" s="413"/>
      <c r="CY67" s="413"/>
      <c r="CZ67" s="413"/>
      <c r="DA67" s="413"/>
      <c r="DB67" s="413"/>
      <c r="DC67" s="413"/>
      <c r="DD67" s="413"/>
      <c r="DE67" s="413"/>
      <c r="DF67" s="413"/>
      <c r="DG67" s="414"/>
      <c r="DH67" s="413"/>
      <c r="DI67" s="413"/>
      <c r="DJ67" s="413"/>
      <c r="DK67" s="413"/>
      <c r="DL67" s="413"/>
      <c r="DM67" s="413"/>
      <c r="DN67" s="413"/>
      <c r="DO67" s="413"/>
      <c r="DP67" s="413"/>
      <c r="DQ67" s="414"/>
      <c r="DR67" s="413"/>
      <c r="DS67" s="413"/>
      <c r="DT67" s="413"/>
      <c r="DU67" s="413"/>
      <c r="DV67" s="413"/>
      <c r="DW67" s="413"/>
      <c r="DX67" s="413"/>
      <c r="DY67" s="413"/>
      <c r="DZ67" s="413"/>
      <c r="EA67" s="413"/>
      <c r="EB67" s="413"/>
      <c r="EC67" s="413"/>
      <c r="ED67" s="413"/>
      <c r="EE67" s="413"/>
      <c r="EF67" s="413"/>
      <c r="EG67" s="413"/>
      <c r="EH67" s="413"/>
      <c r="EI67" s="413"/>
      <c r="EJ67" s="413"/>
      <c r="EK67" s="413"/>
      <c r="EL67" s="413"/>
      <c r="EM67" s="452"/>
      <c r="EN67" s="413"/>
      <c r="EO67" s="453"/>
      <c r="EP67" s="413"/>
      <c r="EQ67" s="434"/>
      <c r="ER67" s="434"/>
      <c r="ES67" s="434"/>
      <c r="ET67" s="434"/>
      <c r="EU67" s="434"/>
      <c r="EV67" s="434"/>
      <c r="EW67" s="434"/>
      <c r="EX67" s="434"/>
      <c r="EY67" s="434"/>
      <c r="EZ67" s="434"/>
      <c r="FA67" s="434"/>
      <c r="FB67" s="434"/>
      <c r="FC67" s="399"/>
      <c r="FD67" s="399"/>
      <c r="FE67" s="399"/>
      <c r="FF67" s="399"/>
      <c r="FG67" s="415"/>
      <c r="FH67" s="415"/>
      <c r="FI67" s="415"/>
      <c r="FJ67" s="415"/>
      <c r="FK67" s="415"/>
      <c r="FL67" s="415"/>
      <c r="FM67" s="415"/>
    </row>
    <row r="68" spans="1:169" hidden="1">
      <c r="A68" s="410" t="s">
        <v>83</v>
      </c>
      <c r="B68" s="465" t="s">
        <v>1333</v>
      </c>
      <c r="C68" s="412"/>
      <c r="D68" s="412"/>
      <c r="E68" s="412"/>
      <c r="F68" s="412"/>
      <c r="G68" s="412"/>
      <c r="H68" s="412"/>
      <c r="I68" s="412"/>
      <c r="J68" s="412"/>
      <c r="K68" s="412"/>
      <c r="L68" s="412"/>
      <c r="M68" s="413"/>
      <c r="N68" s="413"/>
      <c r="O68" s="413"/>
      <c r="P68" s="413"/>
      <c r="Q68" s="413"/>
      <c r="R68" s="413"/>
      <c r="S68" s="413"/>
      <c r="T68" s="413"/>
      <c r="U68" s="413"/>
      <c r="V68" s="413"/>
      <c r="W68" s="413"/>
      <c r="X68" s="413"/>
      <c r="Y68" s="413"/>
      <c r="Z68" s="413"/>
      <c r="AA68" s="413"/>
      <c r="AB68" s="413"/>
      <c r="AC68" s="413"/>
      <c r="AD68" s="413"/>
      <c r="AE68" s="413"/>
      <c r="AF68" s="413"/>
      <c r="AG68" s="413"/>
      <c r="AH68" s="413"/>
      <c r="AI68" s="413"/>
      <c r="AJ68" s="413"/>
      <c r="AK68" s="413"/>
      <c r="AL68" s="413"/>
      <c r="AM68" s="413"/>
      <c r="AN68" s="413"/>
      <c r="AO68" s="414"/>
      <c r="AP68" s="413"/>
      <c r="AQ68" s="413"/>
      <c r="AR68" s="413"/>
      <c r="AS68" s="413"/>
      <c r="AT68" s="413"/>
      <c r="AU68" s="413"/>
      <c r="AV68" s="413"/>
      <c r="AW68" s="413"/>
      <c r="AX68" s="413"/>
      <c r="AY68" s="414"/>
      <c r="AZ68" s="413"/>
      <c r="BA68" s="413"/>
      <c r="BB68" s="413"/>
      <c r="BC68" s="413"/>
      <c r="BD68" s="413"/>
      <c r="BE68" s="413"/>
      <c r="BF68" s="413"/>
      <c r="BG68" s="413"/>
      <c r="BH68" s="413"/>
      <c r="BI68" s="414"/>
      <c r="BJ68" s="413"/>
      <c r="BK68" s="413"/>
      <c r="BL68" s="413"/>
      <c r="BM68" s="413"/>
      <c r="BN68" s="413"/>
      <c r="BO68" s="413"/>
      <c r="BP68" s="413"/>
      <c r="BQ68" s="413"/>
      <c r="BR68" s="413"/>
      <c r="BS68" s="413"/>
      <c r="BT68" s="413"/>
      <c r="BU68" s="413"/>
      <c r="BV68" s="413"/>
      <c r="BW68" s="413"/>
      <c r="BX68" s="413"/>
      <c r="BY68" s="413"/>
      <c r="BZ68" s="413"/>
      <c r="CA68" s="413"/>
      <c r="CB68" s="413"/>
      <c r="CC68" s="413"/>
      <c r="CD68" s="413"/>
      <c r="CE68" s="413"/>
      <c r="CF68" s="413"/>
      <c r="CG68" s="413"/>
      <c r="CH68" s="413"/>
      <c r="CI68" s="413"/>
      <c r="CJ68" s="413"/>
      <c r="CK68" s="413"/>
      <c r="CL68" s="413"/>
      <c r="CM68" s="414"/>
      <c r="CN68" s="413"/>
      <c r="CO68" s="413"/>
      <c r="CP68" s="413"/>
      <c r="CQ68" s="413"/>
      <c r="CR68" s="413"/>
      <c r="CS68" s="413"/>
      <c r="CT68" s="413"/>
      <c r="CU68" s="413"/>
      <c r="CV68" s="413"/>
      <c r="CW68" s="414"/>
      <c r="CX68" s="413"/>
      <c r="CY68" s="413"/>
      <c r="CZ68" s="413"/>
      <c r="DA68" s="413"/>
      <c r="DB68" s="413"/>
      <c r="DC68" s="413"/>
      <c r="DD68" s="413"/>
      <c r="DE68" s="413"/>
      <c r="DF68" s="413"/>
      <c r="DG68" s="414"/>
      <c r="DH68" s="413"/>
      <c r="DI68" s="413"/>
      <c r="DJ68" s="413"/>
      <c r="DK68" s="413"/>
      <c r="DL68" s="413"/>
      <c r="DM68" s="413"/>
      <c r="DN68" s="413"/>
      <c r="DO68" s="413"/>
      <c r="DP68" s="413"/>
      <c r="DQ68" s="414"/>
      <c r="DR68" s="413"/>
      <c r="DS68" s="413"/>
      <c r="DT68" s="413"/>
      <c r="DU68" s="413"/>
      <c r="DV68" s="413"/>
      <c r="DW68" s="413"/>
      <c r="DX68" s="413"/>
      <c r="DY68" s="413"/>
      <c r="DZ68" s="413"/>
      <c r="EA68" s="413"/>
      <c r="EB68" s="413"/>
      <c r="EC68" s="413"/>
      <c r="ED68" s="413"/>
      <c r="EE68" s="413"/>
      <c r="EF68" s="413"/>
      <c r="EG68" s="413"/>
      <c r="EH68" s="413"/>
      <c r="EI68" s="413"/>
      <c r="EJ68" s="413"/>
      <c r="EK68" s="413"/>
      <c r="EL68" s="413"/>
      <c r="EM68" s="452"/>
      <c r="EN68" s="413"/>
      <c r="EO68" s="453"/>
      <c r="EP68" s="413"/>
      <c r="EQ68" s="434"/>
      <c r="ER68" s="434"/>
      <c r="ES68" s="434"/>
      <c r="ET68" s="434"/>
      <c r="EU68" s="434"/>
      <c r="EV68" s="434"/>
      <c r="EW68" s="434"/>
      <c r="EX68" s="434"/>
      <c r="EY68" s="434"/>
      <c r="EZ68" s="434"/>
      <c r="FA68" s="434"/>
      <c r="FB68" s="434"/>
      <c r="FC68" s="399"/>
      <c r="FD68" s="399"/>
      <c r="FE68" s="399"/>
      <c r="FF68" s="399"/>
      <c r="FG68" s="415"/>
      <c r="FH68" s="415"/>
      <c r="FI68" s="415"/>
      <c r="FJ68" s="415"/>
      <c r="FK68" s="415"/>
      <c r="FL68" s="415"/>
      <c r="FM68" s="415"/>
    </row>
    <row r="69" spans="1:169" hidden="1">
      <c r="A69" s="410" t="s">
        <v>86</v>
      </c>
      <c r="B69" s="465" t="s">
        <v>1334</v>
      </c>
      <c r="C69" s="412"/>
      <c r="D69" s="412"/>
      <c r="E69" s="412"/>
      <c r="F69" s="412"/>
      <c r="G69" s="412"/>
      <c r="H69" s="412"/>
      <c r="I69" s="412"/>
      <c r="J69" s="412"/>
      <c r="K69" s="412"/>
      <c r="L69" s="412"/>
      <c r="M69" s="413"/>
      <c r="N69" s="413"/>
      <c r="O69" s="413"/>
      <c r="P69" s="413"/>
      <c r="Q69" s="413"/>
      <c r="R69" s="413"/>
      <c r="S69" s="413"/>
      <c r="T69" s="413"/>
      <c r="U69" s="413"/>
      <c r="V69" s="413"/>
      <c r="W69" s="413"/>
      <c r="X69" s="413"/>
      <c r="Y69" s="413"/>
      <c r="Z69" s="413"/>
      <c r="AA69" s="413"/>
      <c r="AB69" s="413"/>
      <c r="AC69" s="413"/>
      <c r="AD69" s="413"/>
      <c r="AE69" s="413"/>
      <c r="AF69" s="413"/>
      <c r="AG69" s="413"/>
      <c r="AH69" s="413"/>
      <c r="AI69" s="413"/>
      <c r="AJ69" s="413"/>
      <c r="AK69" s="413"/>
      <c r="AL69" s="413"/>
      <c r="AM69" s="413"/>
      <c r="AN69" s="413"/>
      <c r="AO69" s="414"/>
      <c r="AP69" s="413"/>
      <c r="AQ69" s="413"/>
      <c r="AR69" s="413"/>
      <c r="AS69" s="413"/>
      <c r="AT69" s="413"/>
      <c r="AU69" s="413"/>
      <c r="AV69" s="413"/>
      <c r="AW69" s="413"/>
      <c r="AX69" s="413"/>
      <c r="AY69" s="414"/>
      <c r="AZ69" s="413"/>
      <c r="BA69" s="413"/>
      <c r="BB69" s="413"/>
      <c r="BC69" s="413"/>
      <c r="BD69" s="413"/>
      <c r="BE69" s="413"/>
      <c r="BF69" s="413"/>
      <c r="BG69" s="413"/>
      <c r="BH69" s="413"/>
      <c r="BI69" s="414"/>
      <c r="BJ69" s="413"/>
      <c r="BK69" s="413"/>
      <c r="BL69" s="413"/>
      <c r="BM69" s="413"/>
      <c r="BN69" s="413"/>
      <c r="BO69" s="413"/>
      <c r="BP69" s="413"/>
      <c r="BQ69" s="413"/>
      <c r="BR69" s="413"/>
      <c r="BS69" s="413"/>
      <c r="BT69" s="413"/>
      <c r="BU69" s="413"/>
      <c r="BV69" s="413"/>
      <c r="BW69" s="413"/>
      <c r="BX69" s="413"/>
      <c r="BY69" s="413"/>
      <c r="BZ69" s="413"/>
      <c r="CA69" s="413"/>
      <c r="CB69" s="413"/>
      <c r="CC69" s="413"/>
      <c r="CD69" s="413"/>
      <c r="CE69" s="413"/>
      <c r="CF69" s="413"/>
      <c r="CG69" s="413"/>
      <c r="CH69" s="413"/>
      <c r="CI69" s="413"/>
      <c r="CJ69" s="413"/>
      <c r="CK69" s="413"/>
      <c r="CL69" s="413"/>
      <c r="CM69" s="414"/>
      <c r="CN69" s="413"/>
      <c r="CO69" s="413"/>
      <c r="CP69" s="413"/>
      <c r="CQ69" s="413"/>
      <c r="CR69" s="413"/>
      <c r="CS69" s="413"/>
      <c r="CT69" s="413"/>
      <c r="CU69" s="413"/>
      <c r="CV69" s="413"/>
      <c r="CW69" s="414"/>
      <c r="CX69" s="413"/>
      <c r="CY69" s="413"/>
      <c r="CZ69" s="413"/>
      <c r="DA69" s="413"/>
      <c r="DB69" s="413"/>
      <c r="DC69" s="413"/>
      <c r="DD69" s="413"/>
      <c r="DE69" s="413"/>
      <c r="DF69" s="413"/>
      <c r="DG69" s="414"/>
      <c r="DH69" s="413"/>
      <c r="DI69" s="413"/>
      <c r="DJ69" s="413"/>
      <c r="DK69" s="413"/>
      <c r="DL69" s="413"/>
      <c r="DM69" s="413"/>
      <c r="DN69" s="413"/>
      <c r="DO69" s="413"/>
      <c r="DP69" s="413"/>
      <c r="DQ69" s="414"/>
      <c r="DR69" s="413"/>
      <c r="DS69" s="413"/>
      <c r="DT69" s="413"/>
      <c r="DU69" s="413"/>
      <c r="DV69" s="413"/>
      <c r="DW69" s="413"/>
      <c r="DX69" s="413"/>
      <c r="DY69" s="413"/>
      <c r="DZ69" s="413"/>
      <c r="EA69" s="413"/>
      <c r="EB69" s="413"/>
      <c r="EC69" s="413"/>
      <c r="ED69" s="413"/>
      <c r="EE69" s="413"/>
      <c r="EF69" s="413"/>
      <c r="EG69" s="413"/>
      <c r="EH69" s="413"/>
      <c r="EI69" s="413"/>
      <c r="EJ69" s="413"/>
      <c r="EK69" s="413"/>
      <c r="EL69" s="413"/>
      <c r="EM69" s="452"/>
      <c r="EN69" s="413"/>
      <c r="EO69" s="453"/>
      <c r="EP69" s="413"/>
      <c r="EQ69" s="434"/>
      <c r="ER69" s="434"/>
      <c r="ES69" s="434"/>
      <c r="ET69" s="434"/>
      <c r="EU69" s="434"/>
      <c r="EV69" s="434"/>
      <c r="EW69" s="434"/>
      <c r="EX69" s="434"/>
      <c r="EY69" s="434"/>
      <c r="EZ69" s="434"/>
      <c r="FA69" s="434"/>
      <c r="FB69" s="434"/>
      <c r="FC69" s="399"/>
      <c r="FD69" s="399"/>
      <c r="FE69" s="399"/>
      <c r="FF69" s="399"/>
      <c r="FG69" s="415"/>
      <c r="FH69" s="415"/>
      <c r="FI69" s="415"/>
      <c r="FJ69" s="415"/>
      <c r="FK69" s="415"/>
      <c r="FL69" s="415"/>
      <c r="FM69" s="415"/>
    </row>
    <row r="70" spans="1:169" hidden="1">
      <c r="A70" s="410" t="s">
        <v>217</v>
      </c>
      <c r="B70" s="465" t="s">
        <v>1335</v>
      </c>
      <c r="C70" s="412"/>
      <c r="D70" s="412"/>
      <c r="E70" s="412"/>
      <c r="F70" s="412"/>
      <c r="G70" s="412"/>
      <c r="H70" s="412"/>
      <c r="I70" s="412"/>
      <c r="J70" s="412"/>
      <c r="K70" s="412"/>
      <c r="L70" s="412"/>
      <c r="M70" s="413"/>
      <c r="N70" s="413"/>
      <c r="O70" s="413"/>
      <c r="P70" s="413"/>
      <c r="Q70" s="413"/>
      <c r="R70" s="413"/>
      <c r="S70" s="413"/>
      <c r="T70" s="413"/>
      <c r="U70" s="413"/>
      <c r="V70" s="413"/>
      <c r="W70" s="413"/>
      <c r="X70" s="413"/>
      <c r="Y70" s="413"/>
      <c r="Z70" s="413"/>
      <c r="AA70" s="413"/>
      <c r="AB70" s="413"/>
      <c r="AC70" s="413"/>
      <c r="AD70" s="413"/>
      <c r="AE70" s="413"/>
      <c r="AF70" s="413"/>
      <c r="AG70" s="413"/>
      <c r="AH70" s="413"/>
      <c r="AI70" s="413"/>
      <c r="AJ70" s="413"/>
      <c r="AK70" s="413"/>
      <c r="AL70" s="413"/>
      <c r="AM70" s="413"/>
      <c r="AN70" s="413"/>
      <c r="AO70" s="414"/>
      <c r="AP70" s="413"/>
      <c r="AQ70" s="413"/>
      <c r="AR70" s="413"/>
      <c r="AS70" s="413"/>
      <c r="AT70" s="413"/>
      <c r="AU70" s="413"/>
      <c r="AV70" s="413"/>
      <c r="AW70" s="413"/>
      <c r="AX70" s="413"/>
      <c r="AY70" s="414"/>
      <c r="AZ70" s="413"/>
      <c r="BA70" s="413"/>
      <c r="BB70" s="413"/>
      <c r="BC70" s="413"/>
      <c r="BD70" s="413"/>
      <c r="BE70" s="413"/>
      <c r="BF70" s="413"/>
      <c r="BG70" s="413"/>
      <c r="BH70" s="413"/>
      <c r="BI70" s="414"/>
      <c r="BJ70" s="413"/>
      <c r="BK70" s="413"/>
      <c r="BL70" s="413"/>
      <c r="BM70" s="413"/>
      <c r="BN70" s="413"/>
      <c r="BO70" s="413"/>
      <c r="BP70" s="413"/>
      <c r="BQ70" s="413"/>
      <c r="BR70" s="413"/>
      <c r="BS70" s="413"/>
      <c r="BT70" s="413"/>
      <c r="BU70" s="413"/>
      <c r="BV70" s="413"/>
      <c r="BW70" s="413"/>
      <c r="BX70" s="413"/>
      <c r="BY70" s="413"/>
      <c r="BZ70" s="413"/>
      <c r="CA70" s="413"/>
      <c r="CB70" s="413"/>
      <c r="CC70" s="413"/>
      <c r="CD70" s="413"/>
      <c r="CE70" s="413"/>
      <c r="CF70" s="413"/>
      <c r="CG70" s="413"/>
      <c r="CH70" s="413"/>
      <c r="CI70" s="413"/>
      <c r="CJ70" s="413"/>
      <c r="CK70" s="413"/>
      <c r="CL70" s="413"/>
      <c r="CM70" s="414"/>
      <c r="CN70" s="413"/>
      <c r="CO70" s="413"/>
      <c r="CP70" s="413"/>
      <c r="CQ70" s="413"/>
      <c r="CR70" s="413"/>
      <c r="CS70" s="413"/>
      <c r="CT70" s="413"/>
      <c r="CU70" s="413"/>
      <c r="CV70" s="413"/>
      <c r="CW70" s="414"/>
      <c r="CX70" s="413"/>
      <c r="CY70" s="413"/>
      <c r="CZ70" s="413"/>
      <c r="DA70" s="413"/>
      <c r="DB70" s="413"/>
      <c r="DC70" s="413"/>
      <c r="DD70" s="413"/>
      <c r="DE70" s="413"/>
      <c r="DF70" s="413"/>
      <c r="DG70" s="414"/>
      <c r="DH70" s="413"/>
      <c r="DI70" s="413"/>
      <c r="DJ70" s="413"/>
      <c r="DK70" s="413"/>
      <c r="DL70" s="413"/>
      <c r="DM70" s="413"/>
      <c r="DN70" s="413"/>
      <c r="DO70" s="413"/>
      <c r="DP70" s="413"/>
      <c r="DQ70" s="414"/>
      <c r="DR70" s="413"/>
      <c r="DS70" s="413"/>
      <c r="DT70" s="413"/>
      <c r="DU70" s="413"/>
      <c r="DV70" s="413"/>
      <c r="DW70" s="413"/>
      <c r="DX70" s="413"/>
      <c r="DY70" s="413"/>
      <c r="DZ70" s="413"/>
      <c r="EA70" s="413"/>
      <c r="EB70" s="413"/>
      <c r="EC70" s="413"/>
      <c r="ED70" s="413"/>
      <c r="EE70" s="413"/>
      <c r="EF70" s="413"/>
      <c r="EG70" s="413"/>
      <c r="EH70" s="413"/>
      <c r="EI70" s="413"/>
      <c r="EJ70" s="413"/>
      <c r="EK70" s="413"/>
      <c r="EL70" s="413"/>
      <c r="EM70" s="452"/>
      <c r="EN70" s="413"/>
      <c r="EO70" s="453"/>
      <c r="EP70" s="413"/>
      <c r="EQ70" s="434"/>
      <c r="ER70" s="434"/>
      <c r="ES70" s="434"/>
      <c r="ET70" s="434"/>
      <c r="EU70" s="434"/>
      <c r="EV70" s="434"/>
      <c r="EW70" s="434"/>
      <c r="EX70" s="434"/>
      <c r="EY70" s="434"/>
      <c r="EZ70" s="434"/>
      <c r="FA70" s="434"/>
      <c r="FB70" s="434"/>
      <c r="FC70" s="399"/>
      <c r="FD70" s="399"/>
      <c r="FE70" s="399"/>
      <c r="FF70" s="399"/>
      <c r="FG70" s="415"/>
      <c r="FH70" s="415"/>
      <c r="FI70" s="415"/>
      <c r="FJ70" s="415"/>
      <c r="FK70" s="415"/>
      <c r="FL70" s="415"/>
      <c r="FM70" s="415"/>
    </row>
    <row r="71" spans="1:169" hidden="1">
      <c r="A71" s="410" t="s">
        <v>218</v>
      </c>
      <c r="B71" s="465" t="s">
        <v>1336</v>
      </c>
      <c r="C71" s="412"/>
      <c r="D71" s="412"/>
      <c r="E71" s="412"/>
      <c r="F71" s="412"/>
      <c r="G71" s="412"/>
      <c r="H71" s="412"/>
      <c r="I71" s="412"/>
      <c r="J71" s="412"/>
      <c r="K71" s="412"/>
      <c r="L71" s="412"/>
      <c r="M71" s="413"/>
      <c r="N71" s="413"/>
      <c r="O71" s="413"/>
      <c r="P71" s="413"/>
      <c r="Q71" s="413"/>
      <c r="R71" s="413"/>
      <c r="S71" s="413"/>
      <c r="T71" s="413"/>
      <c r="U71" s="413"/>
      <c r="V71" s="413"/>
      <c r="W71" s="413"/>
      <c r="X71" s="413"/>
      <c r="Y71" s="413"/>
      <c r="Z71" s="413"/>
      <c r="AA71" s="413"/>
      <c r="AB71" s="413"/>
      <c r="AC71" s="413"/>
      <c r="AD71" s="413"/>
      <c r="AE71" s="413"/>
      <c r="AF71" s="413"/>
      <c r="AG71" s="413"/>
      <c r="AH71" s="413"/>
      <c r="AI71" s="413"/>
      <c r="AJ71" s="413"/>
      <c r="AK71" s="413"/>
      <c r="AL71" s="413"/>
      <c r="AM71" s="413"/>
      <c r="AN71" s="413"/>
      <c r="AO71" s="414"/>
      <c r="AP71" s="413"/>
      <c r="AQ71" s="413"/>
      <c r="AR71" s="413"/>
      <c r="AS71" s="413"/>
      <c r="AT71" s="413"/>
      <c r="AU71" s="413"/>
      <c r="AV71" s="413"/>
      <c r="AW71" s="413"/>
      <c r="AX71" s="413"/>
      <c r="AY71" s="414"/>
      <c r="AZ71" s="413"/>
      <c r="BA71" s="413"/>
      <c r="BB71" s="413"/>
      <c r="BC71" s="413"/>
      <c r="BD71" s="413"/>
      <c r="BE71" s="413"/>
      <c r="BF71" s="413"/>
      <c r="BG71" s="413"/>
      <c r="BH71" s="413"/>
      <c r="BI71" s="414"/>
      <c r="BJ71" s="413"/>
      <c r="BK71" s="413"/>
      <c r="BL71" s="413"/>
      <c r="BM71" s="413"/>
      <c r="BN71" s="413"/>
      <c r="BO71" s="413"/>
      <c r="BP71" s="413"/>
      <c r="BQ71" s="413"/>
      <c r="BR71" s="413"/>
      <c r="BS71" s="413"/>
      <c r="BT71" s="413"/>
      <c r="BU71" s="413"/>
      <c r="BV71" s="413"/>
      <c r="BW71" s="413"/>
      <c r="BX71" s="413"/>
      <c r="BY71" s="413"/>
      <c r="BZ71" s="413"/>
      <c r="CA71" s="413"/>
      <c r="CB71" s="413"/>
      <c r="CC71" s="413"/>
      <c r="CD71" s="413"/>
      <c r="CE71" s="413"/>
      <c r="CF71" s="413"/>
      <c r="CG71" s="413"/>
      <c r="CH71" s="413"/>
      <c r="CI71" s="413"/>
      <c r="CJ71" s="413"/>
      <c r="CK71" s="413"/>
      <c r="CL71" s="413"/>
      <c r="CM71" s="414"/>
      <c r="CN71" s="413"/>
      <c r="CO71" s="413"/>
      <c r="CP71" s="413"/>
      <c r="CQ71" s="413"/>
      <c r="CR71" s="413"/>
      <c r="CS71" s="413"/>
      <c r="CT71" s="413"/>
      <c r="CU71" s="413"/>
      <c r="CV71" s="413"/>
      <c r="CW71" s="414"/>
      <c r="CX71" s="413"/>
      <c r="CY71" s="413"/>
      <c r="CZ71" s="413"/>
      <c r="DA71" s="413"/>
      <c r="DB71" s="413"/>
      <c r="DC71" s="413"/>
      <c r="DD71" s="413"/>
      <c r="DE71" s="413"/>
      <c r="DF71" s="413"/>
      <c r="DG71" s="414"/>
      <c r="DH71" s="413"/>
      <c r="DI71" s="413"/>
      <c r="DJ71" s="413"/>
      <c r="DK71" s="413"/>
      <c r="DL71" s="413"/>
      <c r="DM71" s="413"/>
      <c r="DN71" s="413"/>
      <c r="DO71" s="413"/>
      <c r="DP71" s="413"/>
      <c r="DQ71" s="414"/>
      <c r="DR71" s="413"/>
      <c r="DS71" s="413"/>
      <c r="DT71" s="413"/>
      <c r="DU71" s="413"/>
      <c r="DV71" s="413"/>
      <c r="DW71" s="413"/>
      <c r="DX71" s="413"/>
      <c r="DY71" s="413"/>
      <c r="DZ71" s="413"/>
      <c r="EA71" s="413"/>
      <c r="EB71" s="413"/>
      <c r="EC71" s="413"/>
      <c r="ED71" s="413"/>
      <c r="EE71" s="413"/>
      <c r="EF71" s="413"/>
      <c r="EG71" s="413"/>
      <c r="EH71" s="413"/>
      <c r="EI71" s="413"/>
      <c r="EJ71" s="413"/>
      <c r="EK71" s="413"/>
      <c r="EL71" s="413"/>
      <c r="EM71" s="452"/>
      <c r="EN71" s="413"/>
      <c r="EO71" s="453"/>
      <c r="EP71" s="413"/>
      <c r="EQ71" s="434"/>
      <c r="ER71" s="434"/>
      <c r="ES71" s="434"/>
      <c r="ET71" s="434"/>
      <c r="EU71" s="434"/>
      <c r="EV71" s="434"/>
      <c r="EW71" s="434"/>
      <c r="EX71" s="434"/>
      <c r="EY71" s="434"/>
      <c r="EZ71" s="434"/>
      <c r="FA71" s="434"/>
      <c r="FB71" s="434"/>
      <c r="FC71" s="399"/>
      <c r="FD71" s="399"/>
      <c r="FE71" s="399"/>
      <c r="FF71" s="399"/>
      <c r="FG71" s="415"/>
      <c r="FH71" s="415"/>
      <c r="FI71" s="415"/>
      <c r="FJ71" s="415"/>
      <c r="FK71" s="415"/>
      <c r="FL71" s="415"/>
      <c r="FM71" s="415"/>
    </row>
    <row r="72" spans="1:169" hidden="1">
      <c r="A72" s="410" t="s">
        <v>1297</v>
      </c>
      <c r="B72" s="465" t="s">
        <v>1337</v>
      </c>
      <c r="C72" s="412"/>
      <c r="D72" s="412"/>
      <c r="E72" s="412"/>
      <c r="F72" s="412"/>
      <c r="G72" s="412"/>
      <c r="H72" s="412"/>
      <c r="I72" s="412"/>
      <c r="J72" s="412"/>
      <c r="K72" s="412"/>
      <c r="L72" s="412"/>
      <c r="M72" s="413"/>
      <c r="N72" s="413"/>
      <c r="O72" s="413"/>
      <c r="P72" s="413"/>
      <c r="Q72" s="413"/>
      <c r="R72" s="413"/>
      <c r="S72" s="413"/>
      <c r="T72" s="413"/>
      <c r="U72" s="413"/>
      <c r="V72" s="413"/>
      <c r="W72" s="413"/>
      <c r="X72" s="413"/>
      <c r="Y72" s="413"/>
      <c r="Z72" s="413"/>
      <c r="AA72" s="413"/>
      <c r="AB72" s="413"/>
      <c r="AC72" s="413"/>
      <c r="AD72" s="413"/>
      <c r="AE72" s="413"/>
      <c r="AF72" s="413"/>
      <c r="AG72" s="413"/>
      <c r="AH72" s="413"/>
      <c r="AI72" s="413"/>
      <c r="AJ72" s="413"/>
      <c r="AK72" s="413"/>
      <c r="AL72" s="413"/>
      <c r="AM72" s="413"/>
      <c r="AN72" s="413"/>
      <c r="AO72" s="414"/>
      <c r="AP72" s="413"/>
      <c r="AQ72" s="413"/>
      <c r="AR72" s="413"/>
      <c r="AS72" s="413"/>
      <c r="AT72" s="413"/>
      <c r="AU72" s="413"/>
      <c r="AV72" s="413"/>
      <c r="AW72" s="413"/>
      <c r="AX72" s="413"/>
      <c r="AY72" s="414"/>
      <c r="AZ72" s="413"/>
      <c r="BA72" s="413"/>
      <c r="BB72" s="413"/>
      <c r="BC72" s="413"/>
      <c r="BD72" s="413"/>
      <c r="BE72" s="413"/>
      <c r="BF72" s="413"/>
      <c r="BG72" s="413"/>
      <c r="BH72" s="413"/>
      <c r="BI72" s="414"/>
      <c r="BJ72" s="413"/>
      <c r="BK72" s="413"/>
      <c r="BL72" s="413"/>
      <c r="BM72" s="413"/>
      <c r="BN72" s="413"/>
      <c r="BO72" s="413"/>
      <c r="BP72" s="413"/>
      <c r="BQ72" s="413"/>
      <c r="BR72" s="413"/>
      <c r="BS72" s="413"/>
      <c r="BT72" s="413"/>
      <c r="BU72" s="413"/>
      <c r="BV72" s="413"/>
      <c r="BW72" s="413"/>
      <c r="BX72" s="413"/>
      <c r="BY72" s="413"/>
      <c r="BZ72" s="413"/>
      <c r="CA72" s="413"/>
      <c r="CB72" s="413"/>
      <c r="CC72" s="413"/>
      <c r="CD72" s="413"/>
      <c r="CE72" s="413"/>
      <c r="CF72" s="413"/>
      <c r="CG72" s="413"/>
      <c r="CH72" s="413"/>
      <c r="CI72" s="413"/>
      <c r="CJ72" s="413"/>
      <c r="CK72" s="413"/>
      <c r="CL72" s="413"/>
      <c r="CM72" s="414"/>
      <c r="CN72" s="413"/>
      <c r="CO72" s="413"/>
      <c r="CP72" s="413"/>
      <c r="CQ72" s="413"/>
      <c r="CR72" s="413"/>
      <c r="CS72" s="413"/>
      <c r="CT72" s="413"/>
      <c r="CU72" s="413"/>
      <c r="CV72" s="413"/>
      <c r="CW72" s="414"/>
      <c r="CX72" s="413"/>
      <c r="CY72" s="413"/>
      <c r="CZ72" s="413"/>
      <c r="DA72" s="413"/>
      <c r="DB72" s="413"/>
      <c r="DC72" s="413"/>
      <c r="DD72" s="413"/>
      <c r="DE72" s="413"/>
      <c r="DF72" s="413"/>
      <c r="DG72" s="414"/>
      <c r="DH72" s="413"/>
      <c r="DI72" s="413"/>
      <c r="DJ72" s="413"/>
      <c r="DK72" s="413"/>
      <c r="DL72" s="413"/>
      <c r="DM72" s="413"/>
      <c r="DN72" s="413"/>
      <c r="DO72" s="413"/>
      <c r="DP72" s="413"/>
      <c r="DQ72" s="414"/>
      <c r="DR72" s="413"/>
      <c r="DS72" s="413"/>
      <c r="DT72" s="413"/>
      <c r="DU72" s="413"/>
      <c r="DV72" s="413"/>
      <c r="DW72" s="413"/>
      <c r="DX72" s="413"/>
      <c r="DY72" s="413"/>
      <c r="DZ72" s="413"/>
      <c r="EA72" s="413"/>
      <c r="EB72" s="413"/>
      <c r="EC72" s="413"/>
      <c r="ED72" s="413"/>
      <c r="EE72" s="413"/>
      <c r="EF72" s="413"/>
      <c r="EG72" s="413"/>
      <c r="EH72" s="413"/>
      <c r="EI72" s="413"/>
      <c r="EJ72" s="413"/>
      <c r="EK72" s="413"/>
      <c r="EL72" s="413"/>
      <c r="EM72" s="452"/>
      <c r="EN72" s="413"/>
      <c r="EO72" s="453"/>
      <c r="EP72" s="413"/>
      <c r="EQ72" s="434"/>
      <c r="ER72" s="434"/>
      <c r="ES72" s="434"/>
      <c r="ET72" s="434"/>
      <c r="EU72" s="434"/>
      <c r="EV72" s="434"/>
      <c r="EW72" s="434"/>
      <c r="EX72" s="434"/>
      <c r="EY72" s="434"/>
      <c r="EZ72" s="434"/>
      <c r="FA72" s="434"/>
      <c r="FB72" s="434"/>
      <c r="FC72" s="399"/>
      <c r="FD72" s="399"/>
      <c r="FE72" s="399"/>
      <c r="FF72" s="399"/>
      <c r="FG72" s="415"/>
      <c r="FH72" s="415"/>
      <c r="FI72" s="415"/>
      <c r="FJ72" s="415"/>
      <c r="FK72" s="415"/>
      <c r="FL72" s="415"/>
      <c r="FM72" s="415"/>
    </row>
    <row r="73" spans="1:169" hidden="1">
      <c r="A73" s="410" t="s">
        <v>1298</v>
      </c>
      <c r="B73" s="465" t="s">
        <v>1338</v>
      </c>
      <c r="C73" s="412"/>
      <c r="D73" s="412"/>
      <c r="E73" s="412"/>
      <c r="F73" s="412"/>
      <c r="G73" s="412"/>
      <c r="H73" s="412"/>
      <c r="I73" s="412"/>
      <c r="J73" s="412"/>
      <c r="K73" s="412"/>
      <c r="L73" s="412"/>
      <c r="M73" s="413"/>
      <c r="N73" s="413"/>
      <c r="O73" s="413"/>
      <c r="P73" s="413"/>
      <c r="Q73" s="413"/>
      <c r="R73" s="413"/>
      <c r="S73" s="413"/>
      <c r="T73" s="413"/>
      <c r="U73" s="413"/>
      <c r="V73" s="413"/>
      <c r="W73" s="413"/>
      <c r="X73" s="413"/>
      <c r="Y73" s="413"/>
      <c r="Z73" s="413"/>
      <c r="AA73" s="413"/>
      <c r="AB73" s="413"/>
      <c r="AC73" s="413"/>
      <c r="AD73" s="413"/>
      <c r="AE73" s="413"/>
      <c r="AF73" s="413"/>
      <c r="AG73" s="413"/>
      <c r="AH73" s="413"/>
      <c r="AI73" s="413"/>
      <c r="AJ73" s="413"/>
      <c r="AK73" s="413"/>
      <c r="AL73" s="413"/>
      <c r="AM73" s="413"/>
      <c r="AN73" s="413"/>
      <c r="AO73" s="414"/>
      <c r="AP73" s="413"/>
      <c r="AQ73" s="413"/>
      <c r="AR73" s="413"/>
      <c r="AS73" s="413"/>
      <c r="AT73" s="413"/>
      <c r="AU73" s="413"/>
      <c r="AV73" s="413"/>
      <c r="AW73" s="413"/>
      <c r="AX73" s="413"/>
      <c r="AY73" s="414"/>
      <c r="AZ73" s="413"/>
      <c r="BA73" s="413"/>
      <c r="BB73" s="413"/>
      <c r="BC73" s="413"/>
      <c r="BD73" s="413"/>
      <c r="BE73" s="413"/>
      <c r="BF73" s="413"/>
      <c r="BG73" s="413"/>
      <c r="BH73" s="413"/>
      <c r="BI73" s="414"/>
      <c r="BJ73" s="413"/>
      <c r="BK73" s="413"/>
      <c r="BL73" s="413"/>
      <c r="BM73" s="413"/>
      <c r="BN73" s="413"/>
      <c r="BO73" s="413"/>
      <c r="BP73" s="413"/>
      <c r="BQ73" s="413"/>
      <c r="BR73" s="413"/>
      <c r="BS73" s="413"/>
      <c r="BT73" s="413"/>
      <c r="BU73" s="413"/>
      <c r="BV73" s="413"/>
      <c r="BW73" s="413"/>
      <c r="BX73" s="413"/>
      <c r="BY73" s="413"/>
      <c r="BZ73" s="413"/>
      <c r="CA73" s="413"/>
      <c r="CB73" s="413"/>
      <c r="CC73" s="413"/>
      <c r="CD73" s="413"/>
      <c r="CE73" s="413"/>
      <c r="CF73" s="413"/>
      <c r="CG73" s="413"/>
      <c r="CH73" s="413"/>
      <c r="CI73" s="413"/>
      <c r="CJ73" s="413"/>
      <c r="CK73" s="413"/>
      <c r="CL73" s="413"/>
      <c r="CM73" s="414"/>
      <c r="CN73" s="413"/>
      <c r="CO73" s="413"/>
      <c r="CP73" s="413"/>
      <c r="CQ73" s="413"/>
      <c r="CR73" s="413"/>
      <c r="CS73" s="413"/>
      <c r="CT73" s="413"/>
      <c r="CU73" s="413"/>
      <c r="CV73" s="413"/>
      <c r="CW73" s="414"/>
      <c r="CX73" s="413"/>
      <c r="CY73" s="413"/>
      <c r="CZ73" s="413"/>
      <c r="DA73" s="413"/>
      <c r="DB73" s="413"/>
      <c r="DC73" s="413"/>
      <c r="DD73" s="413"/>
      <c r="DE73" s="413"/>
      <c r="DF73" s="413"/>
      <c r="DG73" s="414"/>
      <c r="DH73" s="413"/>
      <c r="DI73" s="413"/>
      <c r="DJ73" s="413"/>
      <c r="DK73" s="413"/>
      <c r="DL73" s="413"/>
      <c r="DM73" s="413"/>
      <c r="DN73" s="413"/>
      <c r="DO73" s="413"/>
      <c r="DP73" s="413"/>
      <c r="DQ73" s="414"/>
      <c r="DR73" s="413"/>
      <c r="DS73" s="413"/>
      <c r="DT73" s="413"/>
      <c r="DU73" s="413"/>
      <c r="DV73" s="413"/>
      <c r="DW73" s="413"/>
      <c r="DX73" s="413"/>
      <c r="DY73" s="413"/>
      <c r="DZ73" s="413"/>
      <c r="EA73" s="413"/>
      <c r="EB73" s="413"/>
      <c r="EC73" s="413"/>
      <c r="ED73" s="413"/>
      <c r="EE73" s="413"/>
      <c r="EF73" s="413"/>
      <c r="EG73" s="413"/>
      <c r="EH73" s="413"/>
      <c r="EI73" s="413"/>
      <c r="EJ73" s="413"/>
      <c r="EK73" s="413"/>
      <c r="EL73" s="413"/>
      <c r="EM73" s="452"/>
      <c r="EN73" s="413"/>
      <c r="EO73" s="453"/>
      <c r="EP73" s="413"/>
      <c r="EQ73" s="434"/>
      <c r="ER73" s="434"/>
      <c r="ES73" s="434"/>
      <c r="ET73" s="434"/>
      <c r="EU73" s="434"/>
      <c r="EV73" s="434"/>
      <c r="EW73" s="434"/>
      <c r="EX73" s="434"/>
      <c r="EY73" s="434"/>
      <c r="EZ73" s="434"/>
      <c r="FA73" s="434"/>
      <c r="FB73" s="434"/>
      <c r="FC73" s="399"/>
      <c r="FD73" s="399"/>
      <c r="FE73" s="399"/>
      <c r="FF73" s="399"/>
      <c r="FG73" s="415"/>
      <c r="FH73" s="415"/>
      <c r="FI73" s="415"/>
      <c r="FJ73" s="415"/>
      <c r="FK73" s="415"/>
      <c r="FL73" s="415"/>
      <c r="FM73" s="415"/>
    </row>
    <row r="74" spans="1:169" hidden="1">
      <c r="A74" s="410" t="s">
        <v>1299</v>
      </c>
      <c r="B74" s="465" t="s">
        <v>1339</v>
      </c>
      <c r="C74" s="412"/>
      <c r="D74" s="412"/>
      <c r="E74" s="412"/>
      <c r="F74" s="412"/>
      <c r="G74" s="412"/>
      <c r="H74" s="412"/>
      <c r="I74" s="412"/>
      <c r="J74" s="412"/>
      <c r="K74" s="412"/>
      <c r="L74" s="412"/>
      <c r="M74" s="413"/>
      <c r="N74" s="413"/>
      <c r="O74" s="413"/>
      <c r="P74" s="413"/>
      <c r="Q74" s="413"/>
      <c r="R74" s="413"/>
      <c r="S74" s="413"/>
      <c r="T74" s="413"/>
      <c r="U74" s="413"/>
      <c r="V74" s="413"/>
      <c r="W74" s="413"/>
      <c r="X74" s="413"/>
      <c r="Y74" s="413"/>
      <c r="Z74" s="413"/>
      <c r="AA74" s="413"/>
      <c r="AB74" s="413"/>
      <c r="AC74" s="413"/>
      <c r="AD74" s="413"/>
      <c r="AE74" s="413"/>
      <c r="AF74" s="413"/>
      <c r="AG74" s="413"/>
      <c r="AH74" s="413"/>
      <c r="AI74" s="413"/>
      <c r="AJ74" s="413"/>
      <c r="AK74" s="413"/>
      <c r="AL74" s="413"/>
      <c r="AM74" s="413"/>
      <c r="AN74" s="413"/>
      <c r="AO74" s="414"/>
      <c r="AP74" s="413"/>
      <c r="AQ74" s="413"/>
      <c r="AR74" s="413"/>
      <c r="AS74" s="413"/>
      <c r="AT74" s="413"/>
      <c r="AU74" s="413"/>
      <c r="AV74" s="413"/>
      <c r="AW74" s="413"/>
      <c r="AX74" s="413"/>
      <c r="AY74" s="414"/>
      <c r="AZ74" s="413"/>
      <c r="BA74" s="413"/>
      <c r="BB74" s="413"/>
      <c r="BC74" s="413"/>
      <c r="BD74" s="413"/>
      <c r="BE74" s="413"/>
      <c r="BF74" s="413"/>
      <c r="BG74" s="413"/>
      <c r="BH74" s="413"/>
      <c r="BI74" s="414"/>
      <c r="BJ74" s="413"/>
      <c r="BK74" s="413"/>
      <c r="BL74" s="413"/>
      <c r="BM74" s="413"/>
      <c r="BN74" s="413"/>
      <c r="BO74" s="413"/>
      <c r="BP74" s="413"/>
      <c r="BQ74" s="413"/>
      <c r="BR74" s="413"/>
      <c r="BS74" s="413"/>
      <c r="BT74" s="413"/>
      <c r="BU74" s="413"/>
      <c r="BV74" s="413"/>
      <c r="BW74" s="413"/>
      <c r="BX74" s="413"/>
      <c r="BY74" s="413"/>
      <c r="BZ74" s="413"/>
      <c r="CA74" s="413"/>
      <c r="CB74" s="413"/>
      <c r="CC74" s="413"/>
      <c r="CD74" s="413"/>
      <c r="CE74" s="413"/>
      <c r="CF74" s="413"/>
      <c r="CG74" s="413"/>
      <c r="CH74" s="413"/>
      <c r="CI74" s="413"/>
      <c r="CJ74" s="413"/>
      <c r="CK74" s="413"/>
      <c r="CL74" s="413"/>
      <c r="CM74" s="414"/>
      <c r="CN74" s="413"/>
      <c r="CO74" s="413"/>
      <c r="CP74" s="413"/>
      <c r="CQ74" s="413"/>
      <c r="CR74" s="413"/>
      <c r="CS74" s="413"/>
      <c r="CT74" s="413"/>
      <c r="CU74" s="413"/>
      <c r="CV74" s="413"/>
      <c r="CW74" s="414"/>
      <c r="CX74" s="413"/>
      <c r="CY74" s="413"/>
      <c r="CZ74" s="413"/>
      <c r="DA74" s="413"/>
      <c r="DB74" s="413"/>
      <c r="DC74" s="413"/>
      <c r="DD74" s="413"/>
      <c r="DE74" s="413"/>
      <c r="DF74" s="413"/>
      <c r="DG74" s="414"/>
      <c r="DH74" s="413"/>
      <c r="DI74" s="413"/>
      <c r="DJ74" s="413"/>
      <c r="DK74" s="413"/>
      <c r="DL74" s="413"/>
      <c r="DM74" s="413"/>
      <c r="DN74" s="413"/>
      <c r="DO74" s="413"/>
      <c r="DP74" s="413"/>
      <c r="DQ74" s="414"/>
      <c r="DR74" s="413"/>
      <c r="DS74" s="413"/>
      <c r="DT74" s="413"/>
      <c r="DU74" s="413"/>
      <c r="DV74" s="413"/>
      <c r="DW74" s="413"/>
      <c r="DX74" s="413"/>
      <c r="DY74" s="413"/>
      <c r="DZ74" s="413"/>
      <c r="EA74" s="413"/>
      <c r="EB74" s="413"/>
      <c r="EC74" s="413"/>
      <c r="ED74" s="413"/>
      <c r="EE74" s="413"/>
      <c r="EF74" s="413"/>
      <c r="EG74" s="413"/>
      <c r="EH74" s="413"/>
      <c r="EI74" s="413"/>
      <c r="EJ74" s="413"/>
      <c r="EK74" s="413"/>
      <c r="EL74" s="413"/>
      <c r="EM74" s="452"/>
      <c r="EN74" s="413"/>
      <c r="EO74" s="453"/>
      <c r="EP74" s="413"/>
      <c r="EQ74" s="434"/>
      <c r="ER74" s="434"/>
      <c r="ES74" s="434"/>
      <c r="ET74" s="434"/>
      <c r="EU74" s="434"/>
      <c r="EV74" s="434"/>
      <c r="EW74" s="434"/>
      <c r="EX74" s="434"/>
      <c r="EY74" s="434"/>
      <c r="EZ74" s="434"/>
      <c r="FA74" s="434"/>
      <c r="FB74" s="434"/>
      <c r="FC74" s="399"/>
      <c r="FD74" s="399"/>
      <c r="FE74" s="399"/>
      <c r="FF74" s="399"/>
      <c r="FG74" s="415"/>
      <c r="FH74" s="415"/>
      <c r="FI74" s="415"/>
      <c r="FJ74" s="415"/>
      <c r="FK74" s="415"/>
      <c r="FL74" s="415"/>
      <c r="FM74" s="415"/>
    </row>
    <row r="75" spans="1:169" hidden="1">
      <c r="A75" s="410" t="s">
        <v>1300</v>
      </c>
      <c r="B75" s="465" t="s">
        <v>1340</v>
      </c>
      <c r="C75" s="412"/>
      <c r="D75" s="412"/>
      <c r="E75" s="412"/>
      <c r="F75" s="412"/>
      <c r="G75" s="412"/>
      <c r="H75" s="412"/>
      <c r="I75" s="412"/>
      <c r="J75" s="412"/>
      <c r="K75" s="412"/>
      <c r="L75" s="412"/>
      <c r="M75" s="413"/>
      <c r="N75" s="413"/>
      <c r="O75" s="413"/>
      <c r="P75" s="413"/>
      <c r="Q75" s="413"/>
      <c r="R75" s="413"/>
      <c r="S75" s="413"/>
      <c r="T75" s="413"/>
      <c r="U75" s="413"/>
      <c r="V75" s="413"/>
      <c r="W75" s="413"/>
      <c r="X75" s="413"/>
      <c r="Y75" s="413"/>
      <c r="Z75" s="413"/>
      <c r="AA75" s="413"/>
      <c r="AB75" s="413"/>
      <c r="AC75" s="413"/>
      <c r="AD75" s="413"/>
      <c r="AE75" s="413"/>
      <c r="AF75" s="413"/>
      <c r="AG75" s="413"/>
      <c r="AH75" s="413"/>
      <c r="AI75" s="413"/>
      <c r="AJ75" s="413"/>
      <c r="AK75" s="413"/>
      <c r="AL75" s="413"/>
      <c r="AM75" s="413"/>
      <c r="AN75" s="413"/>
      <c r="AO75" s="414"/>
      <c r="AP75" s="413"/>
      <c r="AQ75" s="413"/>
      <c r="AR75" s="413"/>
      <c r="AS75" s="413"/>
      <c r="AT75" s="413"/>
      <c r="AU75" s="413"/>
      <c r="AV75" s="413"/>
      <c r="AW75" s="413"/>
      <c r="AX75" s="413"/>
      <c r="AY75" s="414"/>
      <c r="AZ75" s="413"/>
      <c r="BA75" s="413"/>
      <c r="BB75" s="413"/>
      <c r="BC75" s="413"/>
      <c r="BD75" s="413"/>
      <c r="BE75" s="413"/>
      <c r="BF75" s="413"/>
      <c r="BG75" s="413"/>
      <c r="BH75" s="413"/>
      <c r="BI75" s="414"/>
      <c r="BJ75" s="413"/>
      <c r="BK75" s="413"/>
      <c r="BL75" s="413"/>
      <c r="BM75" s="413"/>
      <c r="BN75" s="413"/>
      <c r="BO75" s="413"/>
      <c r="BP75" s="413"/>
      <c r="BQ75" s="413"/>
      <c r="BR75" s="413"/>
      <c r="BS75" s="413"/>
      <c r="BT75" s="413"/>
      <c r="BU75" s="413"/>
      <c r="BV75" s="413"/>
      <c r="BW75" s="413"/>
      <c r="BX75" s="413"/>
      <c r="BY75" s="413"/>
      <c r="BZ75" s="413"/>
      <c r="CA75" s="413"/>
      <c r="CB75" s="413"/>
      <c r="CC75" s="413"/>
      <c r="CD75" s="413"/>
      <c r="CE75" s="413"/>
      <c r="CF75" s="413"/>
      <c r="CG75" s="413"/>
      <c r="CH75" s="413"/>
      <c r="CI75" s="413"/>
      <c r="CJ75" s="413"/>
      <c r="CK75" s="413"/>
      <c r="CL75" s="413"/>
      <c r="CM75" s="414"/>
      <c r="CN75" s="413"/>
      <c r="CO75" s="413"/>
      <c r="CP75" s="413"/>
      <c r="CQ75" s="413"/>
      <c r="CR75" s="413"/>
      <c r="CS75" s="413"/>
      <c r="CT75" s="413"/>
      <c r="CU75" s="413"/>
      <c r="CV75" s="413"/>
      <c r="CW75" s="414"/>
      <c r="CX75" s="413"/>
      <c r="CY75" s="413"/>
      <c r="CZ75" s="413"/>
      <c r="DA75" s="413"/>
      <c r="DB75" s="413"/>
      <c r="DC75" s="413"/>
      <c r="DD75" s="413"/>
      <c r="DE75" s="413"/>
      <c r="DF75" s="413"/>
      <c r="DG75" s="414"/>
      <c r="DH75" s="413"/>
      <c r="DI75" s="413"/>
      <c r="DJ75" s="413"/>
      <c r="DK75" s="413"/>
      <c r="DL75" s="413"/>
      <c r="DM75" s="413"/>
      <c r="DN75" s="413"/>
      <c r="DO75" s="413"/>
      <c r="DP75" s="413"/>
      <c r="DQ75" s="414"/>
      <c r="DR75" s="413"/>
      <c r="DS75" s="413"/>
      <c r="DT75" s="413"/>
      <c r="DU75" s="413"/>
      <c r="DV75" s="413"/>
      <c r="DW75" s="413"/>
      <c r="DX75" s="413"/>
      <c r="DY75" s="413"/>
      <c r="DZ75" s="413"/>
      <c r="EA75" s="413"/>
      <c r="EB75" s="413"/>
      <c r="EC75" s="413"/>
      <c r="ED75" s="413"/>
      <c r="EE75" s="413"/>
      <c r="EF75" s="413"/>
      <c r="EG75" s="413"/>
      <c r="EH75" s="413"/>
      <c r="EI75" s="413"/>
      <c r="EJ75" s="413"/>
      <c r="EK75" s="413"/>
      <c r="EL75" s="413"/>
      <c r="EM75" s="452"/>
      <c r="EN75" s="413"/>
      <c r="EO75" s="453"/>
      <c r="EP75" s="413"/>
      <c r="EQ75" s="434"/>
      <c r="ER75" s="434"/>
      <c r="ES75" s="434"/>
      <c r="ET75" s="434"/>
      <c r="EU75" s="434"/>
      <c r="EV75" s="434"/>
      <c r="EW75" s="434"/>
      <c r="EX75" s="434"/>
      <c r="EY75" s="434"/>
      <c r="EZ75" s="434"/>
      <c r="FA75" s="434"/>
      <c r="FB75" s="434"/>
      <c r="FC75" s="399"/>
      <c r="FD75" s="399"/>
      <c r="FE75" s="399"/>
      <c r="FF75" s="399"/>
      <c r="FG75" s="415"/>
      <c r="FH75" s="415"/>
      <c r="FI75" s="415"/>
      <c r="FJ75" s="415"/>
      <c r="FK75" s="415"/>
      <c r="FL75" s="415"/>
      <c r="FM75" s="415"/>
    </row>
    <row r="76" spans="1:169" hidden="1">
      <c r="A76" s="410" t="s">
        <v>1319</v>
      </c>
      <c r="B76" s="465" t="s">
        <v>1341</v>
      </c>
      <c r="C76" s="412"/>
      <c r="D76" s="412"/>
      <c r="E76" s="412"/>
      <c r="F76" s="412"/>
      <c r="G76" s="412"/>
      <c r="H76" s="412"/>
      <c r="I76" s="412"/>
      <c r="J76" s="412"/>
      <c r="K76" s="412"/>
      <c r="L76" s="412"/>
      <c r="M76" s="413"/>
      <c r="N76" s="413"/>
      <c r="O76" s="413"/>
      <c r="P76" s="413"/>
      <c r="Q76" s="413"/>
      <c r="R76" s="413"/>
      <c r="S76" s="413"/>
      <c r="T76" s="413"/>
      <c r="U76" s="413"/>
      <c r="V76" s="413"/>
      <c r="W76" s="413"/>
      <c r="X76" s="413"/>
      <c r="Y76" s="413"/>
      <c r="Z76" s="413"/>
      <c r="AA76" s="413"/>
      <c r="AB76" s="413"/>
      <c r="AC76" s="413"/>
      <c r="AD76" s="413"/>
      <c r="AE76" s="413"/>
      <c r="AF76" s="413"/>
      <c r="AG76" s="413"/>
      <c r="AH76" s="413"/>
      <c r="AI76" s="413"/>
      <c r="AJ76" s="413"/>
      <c r="AK76" s="413"/>
      <c r="AL76" s="413"/>
      <c r="AM76" s="413"/>
      <c r="AN76" s="413"/>
      <c r="AO76" s="414"/>
      <c r="AP76" s="413"/>
      <c r="AQ76" s="413"/>
      <c r="AR76" s="413"/>
      <c r="AS76" s="413"/>
      <c r="AT76" s="413"/>
      <c r="AU76" s="413"/>
      <c r="AV76" s="413"/>
      <c r="AW76" s="413"/>
      <c r="AX76" s="413"/>
      <c r="AY76" s="414"/>
      <c r="AZ76" s="413"/>
      <c r="BA76" s="413"/>
      <c r="BB76" s="413"/>
      <c r="BC76" s="413"/>
      <c r="BD76" s="413"/>
      <c r="BE76" s="413"/>
      <c r="BF76" s="413"/>
      <c r="BG76" s="413"/>
      <c r="BH76" s="413"/>
      <c r="BI76" s="414"/>
      <c r="BJ76" s="413"/>
      <c r="BK76" s="413"/>
      <c r="BL76" s="413"/>
      <c r="BM76" s="413"/>
      <c r="BN76" s="413"/>
      <c r="BO76" s="413"/>
      <c r="BP76" s="413"/>
      <c r="BQ76" s="413"/>
      <c r="BR76" s="413"/>
      <c r="BS76" s="413"/>
      <c r="BT76" s="413"/>
      <c r="BU76" s="413"/>
      <c r="BV76" s="413"/>
      <c r="BW76" s="413"/>
      <c r="BX76" s="413"/>
      <c r="BY76" s="413"/>
      <c r="BZ76" s="413"/>
      <c r="CA76" s="413"/>
      <c r="CB76" s="413"/>
      <c r="CC76" s="413"/>
      <c r="CD76" s="413"/>
      <c r="CE76" s="413"/>
      <c r="CF76" s="413"/>
      <c r="CG76" s="413"/>
      <c r="CH76" s="413"/>
      <c r="CI76" s="413"/>
      <c r="CJ76" s="413"/>
      <c r="CK76" s="413"/>
      <c r="CL76" s="413"/>
      <c r="CM76" s="414"/>
      <c r="CN76" s="413"/>
      <c r="CO76" s="413"/>
      <c r="CP76" s="413"/>
      <c r="CQ76" s="413"/>
      <c r="CR76" s="413"/>
      <c r="CS76" s="413"/>
      <c r="CT76" s="413"/>
      <c r="CU76" s="413"/>
      <c r="CV76" s="413"/>
      <c r="CW76" s="414"/>
      <c r="CX76" s="413"/>
      <c r="CY76" s="413"/>
      <c r="CZ76" s="413"/>
      <c r="DA76" s="413"/>
      <c r="DB76" s="413"/>
      <c r="DC76" s="413"/>
      <c r="DD76" s="413"/>
      <c r="DE76" s="413"/>
      <c r="DF76" s="413"/>
      <c r="DG76" s="414"/>
      <c r="DH76" s="413"/>
      <c r="DI76" s="413"/>
      <c r="DJ76" s="413"/>
      <c r="DK76" s="413"/>
      <c r="DL76" s="413"/>
      <c r="DM76" s="413"/>
      <c r="DN76" s="413"/>
      <c r="DO76" s="413"/>
      <c r="DP76" s="413"/>
      <c r="DQ76" s="414"/>
      <c r="DR76" s="413"/>
      <c r="DS76" s="413"/>
      <c r="DT76" s="413"/>
      <c r="DU76" s="413"/>
      <c r="DV76" s="413"/>
      <c r="DW76" s="413"/>
      <c r="DX76" s="413"/>
      <c r="DY76" s="413"/>
      <c r="DZ76" s="413"/>
      <c r="EA76" s="413"/>
      <c r="EB76" s="413"/>
      <c r="EC76" s="413"/>
      <c r="ED76" s="413"/>
      <c r="EE76" s="413"/>
      <c r="EF76" s="413"/>
      <c r="EG76" s="413"/>
      <c r="EH76" s="413"/>
      <c r="EI76" s="413"/>
      <c r="EJ76" s="413"/>
      <c r="EK76" s="413"/>
      <c r="EL76" s="413"/>
      <c r="EM76" s="452"/>
      <c r="EN76" s="413"/>
      <c r="EO76" s="453"/>
      <c r="EP76" s="413"/>
      <c r="EQ76" s="434"/>
      <c r="ER76" s="434"/>
      <c r="ES76" s="434"/>
      <c r="ET76" s="434"/>
      <c r="EU76" s="434"/>
      <c r="EV76" s="434"/>
      <c r="EW76" s="434"/>
      <c r="EX76" s="434"/>
      <c r="EY76" s="434"/>
      <c r="EZ76" s="434"/>
      <c r="FA76" s="434"/>
      <c r="FB76" s="434"/>
      <c r="FC76" s="399"/>
      <c r="FD76" s="399"/>
      <c r="FE76" s="399"/>
      <c r="FF76" s="399"/>
      <c r="FG76" s="415"/>
      <c r="FH76" s="415"/>
      <c r="FI76" s="415"/>
      <c r="FJ76" s="415"/>
      <c r="FK76" s="415"/>
      <c r="FL76" s="415"/>
      <c r="FM76" s="415"/>
    </row>
    <row r="77" spans="1:169" hidden="1">
      <c r="A77" s="410" t="s">
        <v>1321</v>
      </c>
      <c r="B77" s="465" t="s">
        <v>1342</v>
      </c>
      <c r="C77" s="412"/>
      <c r="D77" s="412"/>
      <c r="E77" s="412"/>
      <c r="F77" s="412"/>
      <c r="G77" s="412"/>
      <c r="H77" s="412"/>
      <c r="I77" s="412"/>
      <c r="J77" s="412"/>
      <c r="K77" s="412"/>
      <c r="L77" s="412"/>
      <c r="M77" s="413"/>
      <c r="N77" s="413"/>
      <c r="O77" s="413"/>
      <c r="P77" s="413"/>
      <c r="Q77" s="413"/>
      <c r="R77" s="413"/>
      <c r="S77" s="413"/>
      <c r="T77" s="413"/>
      <c r="U77" s="413"/>
      <c r="V77" s="413"/>
      <c r="W77" s="413"/>
      <c r="X77" s="413"/>
      <c r="Y77" s="413"/>
      <c r="Z77" s="413"/>
      <c r="AA77" s="413"/>
      <c r="AB77" s="413"/>
      <c r="AC77" s="413"/>
      <c r="AD77" s="413"/>
      <c r="AE77" s="413"/>
      <c r="AF77" s="413"/>
      <c r="AG77" s="413"/>
      <c r="AH77" s="413"/>
      <c r="AI77" s="413"/>
      <c r="AJ77" s="413"/>
      <c r="AK77" s="413"/>
      <c r="AL77" s="413"/>
      <c r="AM77" s="413"/>
      <c r="AN77" s="413"/>
      <c r="AO77" s="414"/>
      <c r="AP77" s="413"/>
      <c r="AQ77" s="413"/>
      <c r="AR77" s="413"/>
      <c r="AS77" s="413"/>
      <c r="AT77" s="413"/>
      <c r="AU77" s="413"/>
      <c r="AV77" s="413"/>
      <c r="AW77" s="413"/>
      <c r="AX77" s="413"/>
      <c r="AY77" s="414"/>
      <c r="AZ77" s="413"/>
      <c r="BA77" s="413"/>
      <c r="BB77" s="413"/>
      <c r="BC77" s="413"/>
      <c r="BD77" s="413"/>
      <c r="BE77" s="413"/>
      <c r="BF77" s="413"/>
      <c r="BG77" s="413"/>
      <c r="BH77" s="413"/>
      <c r="BI77" s="414"/>
      <c r="BJ77" s="413"/>
      <c r="BK77" s="413"/>
      <c r="BL77" s="413"/>
      <c r="BM77" s="413"/>
      <c r="BN77" s="413"/>
      <c r="BO77" s="413"/>
      <c r="BP77" s="413"/>
      <c r="BQ77" s="413"/>
      <c r="BR77" s="413"/>
      <c r="BS77" s="413"/>
      <c r="BT77" s="413"/>
      <c r="BU77" s="413"/>
      <c r="BV77" s="413"/>
      <c r="BW77" s="413"/>
      <c r="BX77" s="413"/>
      <c r="BY77" s="413"/>
      <c r="BZ77" s="413"/>
      <c r="CA77" s="413"/>
      <c r="CB77" s="413"/>
      <c r="CC77" s="413"/>
      <c r="CD77" s="413"/>
      <c r="CE77" s="413"/>
      <c r="CF77" s="413"/>
      <c r="CG77" s="413"/>
      <c r="CH77" s="413"/>
      <c r="CI77" s="413"/>
      <c r="CJ77" s="413"/>
      <c r="CK77" s="413"/>
      <c r="CL77" s="413"/>
      <c r="CM77" s="414"/>
      <c r="CN77" s="413"/>
      <c r="CO77" s="413"/>
      <c r="CP77" s="413"/>
      <c r="CQ77" s="413"/>
      <c r="CR77" s="413"/>
      <c r="CS77" s="413"/>
      <c r="CT77" s="413"/>
      <c r="CU77" s="413"/>
      <c r="CV77" s="413"/>
      <c r="CW77" s="414"/>
      <c r="CX77" s="413"/>
      <c r="CY77" s="413"/>
      <c r="CZ77" s="413"/>
      <c r="DA77" s="413"/>
      <c r="DB77" s="413"/>
      <c r="DC77" s="413"/>
      <c r="DD77" s="413"/>
      <c r="DE77" s="413"/>
      <c r="DF77" s="413"/>
      <c r="DG77" s="414"/>
      <c r="DH77" s="413"/>
      <c r="DI77" s="413"/>
      <c r="DJ77" s="413"/>
      <c r="DK77" s="413"/>
      <c r="DL77" s="413"/>
      <c r="DM77" s="413"/>
      <c r="DN77" s="413"/>
      <c r="DO77" s="413"/>
      <c r="DP77" s="413"/>
      <c r="DQ77" s="414"/>
      <c r="DR77" s="413"/>
      <c r="DS77" s="413"/>
      <c r="DT77" s="413"/>
      <c r="DU77" s="413"/>
      <c r="DV77" s="413"/>
      <c r="DW77" s="413"/>
      <c r="DX77" s="413"/>
      <c r="DY77" s="413"/>
      <c r="DZ77" s="413"/>
      <c r="EA77" s="413"/>
      <c r="EB77" s="413"/>
      <c r="EC77" s="413"/>
      <c r="ED77" s="413"/>
      <c r="EE77" s="413"/>
      <c r="EF77" s="413"/>
      <c r="EG77" s="413"/>
      <c r="EH77" s="413"/>
      <c r="EI77" s="413"/>
      <c r="EJ77" s="413"/>
      <c r="EK77" s="413"/>
      <c r="EL77" s="413"/>
      <c r="EM77" s="452"/>
      <c r="EN77" s="413"/>
      <c r="EO77" s="453"/>
      <c r="EP77" s="413"/>
      <c r="EQ77" s="434"/>
      <c r="ER77" s="434"/>
      <c r="ES77" s="434"/>
      <c r="ET77" s="434"/>
      <c r="EU77" s="434"/>
      <c r="EV77" s="434"/>
      <c r="EW77" s="434"/>
      <c r="EX77" s="434"/>
      <c r="EY77" s="434"/>
      <c r="EZ77" s="434"/>
      <c r="FA77" s="434"/>
      <c r="FB77" s="434"/>
      <c r="FC77" s="399"/>
      <c r="FD77" s="399"/>
      <c r="FE77" s="399"/>
      <c r="FF77" s="399"/>
      <c r="FG77" s="415"/>
      <c r="FH77" s="415"/>
      <c r="FI77" s="415"/>
      <c r="FJ77" s="415"/>
      <c r="FK77" s="415"/>
      <c r="FL77" s="415"/>
      <c r="FM77" s="415"/>
    </row>
    <row r="78" spans="1:169" hidden="1">
      <c r="A78" s="410" t="s">
        <v>1320</v>
      </c>
      <c r="B78" s="465" t="s">
        <v>1343</v>
      </c>
      <c r="C78" s="412"/>
      <c r="D78" s="412"/>
      <c r="E78" s="412"/>
      <c r="F78" s="412"/>
      <c r="G78" s="412"/>
      <c r="H78" s="412"/>
      <c r="I78" s="412"/>
      <c r="J78" s="412"/>
      <c r="K78" s="412"/>
      <c r="L78" s="412"/>
      <c r="M78" s="413"/>
      <c r="N78" s="413"/>
      <c r="O78" s="413"/>
      <c r="P78" s="413"/>
      <c r="Q78" s="413"/>
      <c r="R78" s="413"/>
      <c r="S78" s="413"/>
      <c r="T78" s="413"/>
      <c r="U78" s="413"/>
      <c r="V78" s="413"/>
      <c r="W78" s="413"/>
      <c r="X78" s="413"/>
      <c r="Y78" s="413"/>
      <c r="Z78" s="413"/>
      <c r="AA78" s="413"/>
      <c r="AB78" s="413"/>
      <c r="AC78" s="413"/>
      <c r="AD78" s="413"/>
      <c r="AE78" s="413"/>
      <c r="AF78" s="413"/>
      <c r="AG78" s="413"/>
      <c r="AH78" s="413"/>
      <c r="AI78" s="413"/>
      <c r="AJ78" s="413"/>
      <c r="AK78" s="413"/>
      <c r="AL78" s="413"/>
      <c r="AM78" s="413"/>
      <c r="AN78" s="413"/>
      <c r="AO78" s="414"/>
      <c r="AP78" s="413"/>
      <c r="AQ78" s="413"/>
      <c r="AR78" s="413"/>
      <c r="AS78" s="413"/>
      <c r="AT78" s="413"/>
      <c r="AU78" s="413"/>
      <c r="AV78" s="413"/>
      <c r="AW78" s="413"/>
      <c r="AX78" s="413"/>
      <c r="AY78" s="414"/>
      <c r="AZ78" s="413"/>
      <c r="BA78" s="413"/>
      <c r="BB78" s="413"/>
      <c r="BC78" s="413"/>
      <c r="BD78" s="413"/>
      <c r="BE78" s="413"/>
      <c r="BF78" s="413"/>
      <c r="BG78" s="413"/>
      <c r="BH78" s="413"/>
      <c r="BI78" s="414"/>
      <c r="BJ78" s="413"/>
      <c r="BK78" s="413"/>
      <c r="BL78" s="413"/>
      <c r="BM78" s="413"/>
      <c r="BN78" s="413"/>
      <c r="BO78" s="413"/>
      <c r="BP78" s="413"/>
      <c r="BQ78" s="413"/>
      <c r="BR78" s="413"/>
      <c r="BS78" s="413"/>
      <c r="BT78" s="413"/>
      <c r="BU78" s="413"/>
      <c r="BV78" s="413"/>
      <c r="BW78" s="413"/>
      <c r="BX78" s="413"/>
      <c r="BY78" s="413"/>
      <c r="BZ78" s="413"/>
      <c r="CA78" s="413"/>
      <c r="CB78" s="413"/>
      <c r="CC78" s="413"/>
      <c r="CD78" s="413"/>
      <c r="CE78" s="413"/>
      <c r="CF78" s="413"/>
      <c r="CG78" s="413"/>
      <c r="CH78" s="413"/>
      <c r="CI78" s="413"/>
      <c r="CJ78" s="413"/>
      <c r="CK78" s="413"/>
      <c r="CL78" s="413"/>
      <c r="CM78" s="414"/>
      <c r="CN78" s="413"/>
      <c r="CO78" s="413"/>
      <c r="CP78" s="413"/>
      <c r="CQ78" s="413"/>
      <c r="CR78" s="413"/>
      <c r="CS78" s="413"/>
      <c r="CT78" s="413"/>
      <c r="CU78" s="413"/>
      <c r="CV78" s="413"/>
      <c r="CW78" s="414"/>
      <c r="CX78" s="413"/>
      <c r="CY78" s="413"/>
      <c r="CZ78" s="413"/>
      <c r="DA78" s="413"/>
      <c r="DB78" s="413"/>
      <c r="DC78" s="413"/>
      <c r="DD78" s="413"/>
      <c r="DE78" s="413"/>
      <c r="DF78" s="413"/>
      <c r="DG78" s="414"/>
      <c r="DH78" s="413"/>
      <c r="DI78" s="413"/>
      <c r="DJ78" s="413"/>
      <c r="DK78" s="413"/>
      <c r="DL78" s="413"/>
      <c r="DM78" s="413"/>
      <c r="DN78" s="413"/>
      <c r="DO78" s="413"/>
      <c r="DP78" s="413"/>
      <c r="DQ78" s="414"/>
      <c r="DR78" s="413"/>
      <c r="DS78" s="413"/>
      <c r="DT78" s="413"/>
      <c r="DU78" s="413"/>
      <c r="DV78" s="413"/>
      <c r="DW78" s="413"/>
      <c r="DX78" s="413"/>
      <c r="DY78" s="413"/>
      <c r="DZ78" s="413"/>
      <c r="EA78" s="413"/>
      <c r="EB78" s="413"/>
      <c r="EC78" s="413"/>
      <c r="ED78" s="413"/>
      <c r="EE78" s="413"/>
      <c r="EF78" s="413"/>
      <c r="EG78" s="413"/>
      <c r="EH78" s="413"/>
      <c r="EI78" s="413"/>
      <c r="EJ78" s="413"/>
      <c r="EK78" s="413"/>
      <c r="EL78" s="413"/>
      <c r="EM78" s="452"/>
      <c r="EN78" s="413"/>
      <c r="EO78" s="453"/>
      <c r="EP78" s="413"/>
      <c r="EQ78" s="434"/>
      <c r="ER78" s="434"/>
      <c r="ES78" s="434"/>
      <c r="ET78" s="434"/>
      <c r="EU78" s="434"/>
      <c r="EV78" s="434"/>
      <c r="EW78" s="434"/>
      <c r="EX78" s="434"/>
      <c r="EY78" s="434"/>
      <c r="EZ78" s="434"/>
      <c r="FA78" s="434"/>
      <c r="FB78" s="434"/>
      <c r="FC78" s="399"/>
      <c r="FD78" s="399"/>
      <c r="FE78" s="399"/>
      <c r="FF78" s="399"/>
      <c r="FG78" s="415"/>
      <c r="FH78" s="415"/>
      <c r="FI78" s="415"/>
      <c r="FJ78" s="415"/>
      <c r="FK78" s="415"/>
      <c r="FL78" s="415"/>
      <c r="FM78" s="415"/>
    </row>
    <row r="79" spans="1:169" hidden="1">
      <c r="A79" s="410" t="s">
        <v>1348</v>
      </c>
      <c r="B79" s="465" t="s">
        <v>1344</v>
      </c>
      <c r="C79" s="412"/>
      <c r="D79" s="412"/>
      <c r="E79" s="412"/>
      <c r="F79" s="412"/>
      <c r="G79" s="412"/>
      <c r="H79" s="412"/>
      <c r="I79" s="412"/>
      <c r="J79" s="412"/>
      <c r="K79" s="412"/>
      <c r="L79" s="412"/>
      <c r="M79" s="413"/>
      <c r="N79" s="413"/>
      <c r="O79" s="413"/>
      <c r="P79" s="413"/>
      <c r="Q79" s="413"/>
      <c r="R79" s="413"/>
      <c r="S79" s="413"/>
      <c r="T79" s="413"/>
      <c r="U79" s="413"/>
      <c r="V79" s="413"/>
      <c r="W79" s="413"/>
      <c r="X79" s="413"/>
      <c r="Y79" s="413"/>
      <c r="Z79" s="413"/>
      <c r="AA79" s="413"/>
      <c r="AB79" s="413"/>
      <c r="AC79" s="413"/>
      <c r="AD79" s="413"/>
      <c r="AE79" s="413"/>
      <c r="AF79" s="413"/>
      <c r="AG79" s="413"/>
      <c r="AH79" s="413"/>
      <c r="AI79" s="413"/>
      <c r="AJ79" s="413"/>
      <c r="AK79" s="413"/>
      <c r="AL79" s="413"/>
      <c r="AM79" s="413"/>
      <c r="AN79" s="413"/>
      <c r="AO79" s="414"/>
      <c r="AP79" s="413"/>
      <c r="AQ79" s="413"/>
      <c r="AR79" s="413"/>
      <c r="AS79" s="413"/>
      <c r="AT79" s="413"/>
      <c r="AU79" s="413"/>
      <c r="AV79" s="413"/>
      <c r="AW79" s="413"/>
      <c r="AX79" s="413"/>
      <c r="AY79" s="414"/>
      <c r="AZ79" s="413"/>
      <c r="BA79" s="413"/>
      <c r="BB79" s="413"/>
      <c r="BC79" s="413"/>
      <c r="BD79" s="413"/>
      <c r="BE79" s="413"/>
      <c r="BF79" s="413"/>
      <c r="BG79" s="413"/>
      <c r="BH79" s="413"/>
      <c r="BI79" s="414"/>
      <c r="BJ79" s="413"/>
      <c r="BK79" s="413"/>
      <c r="BL79" s="413"/>
      <c r="BM79" s="413"/>
      <c r="BN79" s="413"/>
      <c r="BO79" s="413"/>
      <c r="BP79" s="413"/>
      <c r="BQ79" s="413"/>
      <c r="BR79" s="413"/>
      <c r="BS79" s="413"/>
      <c r="BT79" s="413"/>
      <c r="BU79" s="413"/>
      <c r="BV79" s="413"/>
      <c r="BW79" s="413"/>
      <c r="BX79" s="413"/>
      <c r="BY79" s="413"/>
      <c r="BZ79" s="413"/>
      <c r="CA79" s="413"/>
      <c r="CB79" s="413"/>
      <c r="CC79" s="413"/>
      <c r="CD79" s="413"/>
      <c r="CE79" s="413"/>
      <c r="CF79" s="413"/>
      <c r="CG79" s="413"/>
      <c r="CH79" s="413"/>
      <c r="CI79" s="413"/>
      <c r="CJ79" s="413"/>
      <c r="CK79" s="413"/>
      <c r="CL79" s="413"/>
      <c r="CM79" s="414"/>
      <c r="CN79" s="413"/>
      <c r="CO79" s="413"/>
      <c r="CP79" s="413"/>
      <c r="CQ79" s="413"/>
      <c r="CR79" s="413"/>
      <c r="CS79" s="413"/>
      <c r="CT79" s="413"/>
      <c r="CU79" s="413"/>
      <c r="CV79" s="413"/>
      <c r="CW79" s="414"/>
      <c r="CX79" s="413"/>
      <c r="CY79" s="413"/>
      <c r="CZ79" s="413"/>
      <c r="DA79" s="413"/>
      <c r="DB79" s="413"/>
      <c r="DC79" s="413"/>
      <c r="DD79" s="413"/>
      <c r="DE79" s="413"/>
      <c r="DF79" s="413"/>
      <c r="DG79" s="414"/>
      <c r="DH79" s="413"/>
      <c r="DI79" s="413"/>
      <c r="DJ79" s="413"/>
      <c r="DK79" s="413"/>
      <c r="DL79" s="413"/>
      <c r="DM79" s="413"/>
      <c r="DN79" s="413"/>
      <c r="DO79" s="413"/>
      <c r="DP79" s="413"/>
      <c r="DQ79" s="414"/>
      <c r="DR79" s="413"/>
      <c r="DS79" s="413"/>
      <c r="DT79" s="413"/>
      <c r="DU79" s="413"/>
      <c r="DV79" s="413"/>
      <c r="DW79" s="413"/>
      <c r="DX79" s="413"/>
      <c r="DY79" s="413"/>
      <c r="DZ79" s="413"/>
      <c r="EA79" s="413"/>
      <c r="EB79" s="413"/>
      <c r="EC79" s="413"/>
      <c r="ED79" s="413"/>
      <c r="EE79" s="413"/>
      <c r="EF79" s="413"/>
      <c r="EG79" s="413"/>
      <c r="EH79" s="413"/>
      <c r="EI79" s="413"/>
      <c r="EJ79" s="413"/>
      <c r="EK79" s="413"/>
      <c r="EL79" s="413"/>
      <c r="EM79" s="452"/>
      <c r="EN79" s="413"/>
      <c r="EO79" s="453"/>
      <c r="EP79" s="413"/>
      <c r="EQ79" s="434"/>
      <c r="ER79" s="434"/>
      <c r="ES79" s="434"/>
      <c r="ET79" s="434"/>
      <c r="EU79" s="434"/>
      <c r="EV79" s="434"/>
      <c r="EW79" s="434"/>
      <c r="EX79" s="434"/>
      <c r="EY79" s="434"/>
      <c r="EZ79" s="434"/>
      <c r="FA79" s="434"/>
      <c r="FB79" s="434"/>
      <c r="FC79" s="399"/>
      <c r="FD79" s="399"/>
      <c r="FE79" s="399"/>
      <c r="FF79" s="399"/>
      <c r="FG79" s="415"/>
      <c r="FH79" s="415"/>
      <c r="FI79" s="415"/>
      <c r="FJ79" s="415"/>
      <c r="FK79" s="415"/>
      <c r="FL79" s="415"/>
      <c r="FM79" s="415"/>
    </row>
    <row r="80" spans="1:169" hidden="1">
      <c r="A80" s="410" t="s">
        <v>1349</v>
      </c>
      <c r="B80" s="465" t="s">
        <v>1345</v>
      </c>
      <c r="C80" s="412"/>
      <c r="D80" s="412"/>
      <c r="E80" s="412"/>
      <c r="F80" s="412"/>
      <c r="G80" s="412"/>
      <c r="H80" s="412"/>
      <c r="I80" s="412"/>
      <c r="J80" s="412"/>
      <c r="K80" s="412"/>
      <c r="L80" s="412"/>
      <c r="M80" s="413"/>
      <c r="N80" s="413"/>
      <c r="O80" s="413"/>
      <c r="P80" s="413"/>
      <c r="Q80" s="413"/>
      <c r="R80" s="413"/>
      <c r="S80" s="413"/>
      <c r="T80" s="413"/>
      <c r="U80" s="413"/>
      <c r="V80" s="413"/>
      <c r="W80" s="413"/>
      <c r="X80" s="413"/>
      <c r="Y80" s="413"/>
      <c r="Z80" s="413"/>
      <c r="AA80" s="413"/>
      <c r="AB80" s="413"/>
      <c r="AC80" s="413"/>
      <c r="AD80" s="413"/>
      <c r="AE80" s="413"/>
      <c r="AF80" s="413"/>
      <c r="AG80" s="413"/>
      <c r="AH80" s="413"/>
      <c r="AI80" s="413"/>
      <c r="AJ80" s="413"/>
      <c r="AK80" s="413"/>
      <c r="AL80" s="413"/>
      <c r="AM80" s="413"/>
      <c r="AN80" s="413"/>
      <c r="AO80" s="414"/>
      <c r="AP80" s="413"/>
      <c r="AQ80" s="413"/>
      <c r="AR80" s="413"/>
      <c r="AS80" s="413"/>
      <c r="AT80" s="413"/>
      <c r="AU80" s="413"/>
      <c r="AV80" s="413"/>
      <c r="AW80" s="413"/>
      <c r="AX80" s="413"/>
      <c r="AY80" s="414"/>
      <c r="AZ80" s="413"/>
      <c r="BA80" s="413"/>
      <c r="BB80" s="413"/>
      <c r="BC80" s="413"/>
      <c r="BD80" s="413"/>
      <c r="BE80" s="413"/>
      <c r="BF80" s="413"/>
      <c r="BG80" s="413"/>
      <c r="BH80" s="413"/>
      <c r="BI80" s="414"/>
      <c r="BJ80" s="413"/>
      <c r="BK80" s="413"/>
      <c r="BL80" s="413"/>
      <c r="BM80" s="413"/>
      <c r="BN80" s="413"/>
      <c r="BO80" s="413"/>
      <c r="BP80" s="413"/>
      <c r="BQ80" s="413"/>
      <c r="BR80" s="413"/>
      <c r="BS80" s="413"/>
      <c r="BT80" s="413"/>
      <c r="BU80" s="413"/>
      <c r="BV80" s="413"/>
      <c r="BW80" s="413"/>
      <c r="BX80" s="413"/>
      <c r="BY80" s="413"/>
      <c r="BZ80" s="413"/>
      <c r="CA80" s="413"/>
      <c r="CB80" s="413"/>
      <c r="CC80" s="413"/>
      <c r="CD80" s="413"/>
      <c r="CE80" s="413"/>
      <c r="CF80" s="413"/>
      <c r="CG80" s="413"/>
      <c r="CH80" s="413"/>
      <c r="CI80" s="413"/>
      <c r="CJ80" s="413"/>
      <c r="CK80" s="413"/>
      <c r="CL80" s="413"/>
      <c r="CM80" s="414"/>
      <c r="CN80" s="413"/>
      <c r="CO80" s="413"/>
      <c r="CP80" s="413"/>
      <c r="CQ80" s="413"/>
      <c r="CR80" s="413"/>
      <c r="CS80" s="413"/>
      <c r="CT80" s="413"/>
      <c r="CU80" s="413"/>
      <c r="CV80" s="413"/>
      <c r="CW80" s="414"/>
      <c r="CX80" s="413"/>
      <c r="CY80" s="413"/>
      <c r="CZ80" s="413"/>
      <c r="DA80" s="413"/>
      <c r="DB80" s="413"/>
      <c r="DC80" s="413"/>
      <c r="DD80" s="413"/>
      <c r="DE80" s="413"/>
      <c r="DF80" s="413"/>
      <c r="DG80" s="414"/>
      <c r="DH80" s="413"/>
      <c r="DI80" s="413"/>
      <c r="DJ80" s="413"/>
      <c r="DK80" s="413"/>
      <c r="DL80" s="413"/>
      <c r="DM80" s="413"/>
      <c r="DN80" s="413"/>
      <c r="DO80" s="413"/>
      <c r="DP80" s="413"/>
      <c r="DQ80" s="414"/>
      <c r="DR80" s="413"/>
      <c r="DS80" s="413"/>
      <c r="DT80" s="413"/>
      <c r="DU80" s="413"/>
      <c r="DV80" s="413"/>
      <c r="DW80" s="413"/>
      <c r="DX80" s="413"/>
      <c r="DY80" s="413"/>
      <c r="DZ80" s="413"/>
      <c r="EA80" s="413"/>
      <c r="EB80" s="413"/>
      <c r="EC80" s="413"/>
      <c r="ED80" s="413"/>
      <c r="EE80" s="413"/>
      <c r="EF80" s="413"/>
      <c r="EG80" s="413"/>
      <c r="EH80" s="413"/>
      <c r="EI80" s="413"/>
      <c r="EJ80" s="413"/>
      <c r="EK80" s="413"/>
      <c r="EL80" s="413"/>
      <c r="EM80" s="452"/>
      <c r="EN80" s="413"/>
      <c r="EO80" s="453"/>
      <c r="EP80" s="413"/>
      <c r="EQ80" s="434"/>
      <c r="ER80" s="434"/>
      <c r="ES80" s="434"/>
      <c r="ET80" s="434"/>
      <c r="EU80" s="434"/>
      <c r="EV80" s="434"/>
      <c r="EW80" s="434"/>
      <c r="EX80" s="434"/>
      <c r="EY80" s="434"/>
      <c r="EZ80" s="434"/>
      <c r="FA80" s="434"/>
      <c r="FB80" s="434"/>
      <c r="FC80" s="399"/>
      <c r="FD80" s="399"/>
      <c r="FE80" s="399"/>
      <c r="FF80" s="399"/>
      <c r="FG80" s="415"/>
      <c r="FH80" s="415"/>
      <c r="FI80" s="415"/>
      <c r="FJ80" s="415"/>
      <c r="FK80" s="415"/>
      <c r="FL80" s="415"/>
      <c r="FM80" s="415"/>
    </row>
    <row r="81" spans="1:169" hidden="1">
      <c r="A81" s="410" t="s">
        <v>1349</v>
      </c>
      <c r="B81" s="465" t="s">
        <v>1346</v>
      </c>
      <c r="C81" s="412"/>
      <c r="D81" s="412"/>
      <c r="E81" s="412"/>
      <c r="F81" s="412"/>
      <c r="G81" s="412"/>
      <c r="H81" s="412"/>
      <c r="I81" s="412"/>
      <c r="J81" s="412"/>
      <c r="K81" s="412"/>
      <c r="L81" s="412"/>
      <c r="M81" s="413"/>
      <c r="N81" s="413"/>
      <c r="O81" s="413"/>
      <c r="P81" s="413"/>
      <c r="Q81" s="413"/>
      <c r="R81" s="413"/>
      <c r="S81" s="413"/>
      <c r="T81" s="413"/>
      <c r="U81" s="413"/>
      <c r="V81" s="413"/>
      <c r="W81" s="413"/>
      <c r="X81" s="413"/>
      <c r="Y81" s="413"/>
      <c r="Z81" s="413"/>
      <c r="AA81" s="413"/>
      <c r="AB81" s="413"/>
      <c r="AC81" s="413"/>
      <c r="AD81" s="413"/>
      <c r="AE81" s="413"/>
      <c r="AF81" s="413"/>
      <c r="AG81" s="413"/>
      <c r="AH81" s="413"/>
      <c r="AI81" s="413"/>
      <c r="AJ81" s="413"/>
      <c r="AK81" s="413"/>
      <c r="AL81" s="413"/>
      <c r="AM81" s="413"/>
      <c r="AN81" s="413"/>
      <c r="AO81" s="414"/>
      <c r="AP81" s="413"/>
      <c r="AQ81" s="413"/>
      <c r="AR81" s="413"/>
      <c r="AS81" s="413"/>
      <c r="AT81" s="413"/>
      <c r="AU81" s="413"/>
      <c r="AV81" s="413"/>
      <c r="AW81" s="413"/>
      <c r="AX81" s="413"/>
      <c r="AY81" s="414"/>
      <c r="AZ81" s="413"/>
      <c r="BA81" s="413"/>
      <c r="BB81" s="413"/>
      <c r="BC81" s="413"/>
      <c r="BD81" s="413"/>
      <c r="BE81" s="413"/>
      <c r="BF81" s="413"/>
      <c r="BG81" s="413"/>
      <c r="BH81" s="413"/>
      <c r="BI81" s="414"/>
      <c r="BJ81" s="413"/>
      <c r="BK81" s="413"/>
      <c r="BL81" s="413"/>
      <c r="BM81" s="413"/>
      <c r="BN81" s="413"/>
      <c r="BO81" s="413"/>
      <c r="BP81" s="413"/>
      <c r="BQ81" s="413"/>
      <c r="BR81" s="413"/>
      <c r="BS81" s="413"/>
      <c r="BT81" s="413"/>
      <c r="BU81" s="413"/>
      <c r="BV81" s="413"/>
      <c r="BW81" s="413"/>
      <c r="BX81" s="413"/>
      <c r="BY81" s="413"/>
      <c r="BZ81" s="413"/>
      <c r="CA81" s="413"/>
      <c r="CB81" s="413"/>
      <c r="CC81" s="413"/>
      <c r="CD81" s="413"/>
      <c r="CE81" s="413"/>
      <c r="CF81" s="413"/>
      <c r="CG81" s="413"/>
      <c r="CH81" s="413"/>
      <c r="CI81" s="413"/>
      <c r="CJ81" s="413"/>
      <c r="CK81" s="413"/>
      <c r="CL81" s="413"/>
      <c r="CM81" s="414"/>
      <c r="CN81" s="413"/>
      <c r="CO81" s="413"/>
      <c r="CP81" s="413"/>
      <c r="CQ81" s="413"/>
      <c r="CR81" s="413"/>
      <c r="CS81" s="413"/>
      <c r="CT81" s="413"/>
      <c r="CU81" s="413"/>
      <c r="CV81" s="413"/>
      <c r="CW81" s="414"/>
      <c r="CX81" s="413"/>
      <c r="CY81" s="413"/>
      <c r="CZ81" s="413"/>
      <c r="DA81" s="413"/>
      <c r="DB81" s="413"/>
      <c r="DC81" s="413"/>
      <c r="DD81" s="413"/>
      <c r="DE81" s="413"/>
      <c r="DF81" s="413"/>
      <c r="DG81" s="414"/>
      <c r="DH81" s="413"/>
      <c r="DI81" s="413"/>
      <c r="DJ81" s="413"/>
      <c r="DK81" s="413"/>
      <c r="DL81" s="413"/>
      <c r="DM81" s="413"/>
      <c r="DN81" s="413"/>
      <c r="DO81" s="413"/>
      <c r="DP81" s="413"/>
      <c r="DQ81" s="414"/>
      <c r="DR81" s="413"/>
      <c r="DS81" s="413"/>
      <c r="DT81" s="413"/>
      <c r="DU81" s="413"/>
      <c r="DV81" s="413"/>
      <c r="DW81" s="413"/>
      <c r="DX81" s="413"/>
      <c r="DY81" s="413"/>
      <c r="DZ81" s="413"/>
      <c r="EA81" s="413"/>
      <c r="EB81" s="413"/>
      <c r="EC81" s="413"/>
      <c r="ED81" s="413"/>
      <c r="EE81" s="413"/>
      <c r="EF81" s="413"/>
      <c r="EG81" s="413"/>
      <c r="EH81" s="413"/>
      <c r="EI81" s="413"/>
      <c r="EJ81" s="413"/>
      <c r="EK81" s="413"/>
      <c r="EL81" s="413"/>
      <c r="EM81" s="452"/>
      <c r="EN81" s="413"/>
      <c r="EO81" s="453"/>
      <c r="EP81" s="413"/>
      <c r="EQ81" s="434"/>
      <c r="ER81" s="434"/>
      <c r="ES81" s="434"/>
      <c r="ET81" s="434"/>
      <c r="EU81" s="434"/>
      <c r="EV81" s="434"/>
      <c r="EW81" s="434"/>
      <c r="EX81" s="434"/>
      <c r="EY81" s="434"/>
      <c r="EZ81" s="434"/>
      <c r="FA81" s="434"/>
      <c r="FB81" s="434"/>
      <c r="FC81" s="399"/>
      <c r="FD81" s="399"/>
      <c r="FE81" s="399"/>
      <c r="FF81" s="399"/>
      <c r="FG81" s="415"/>
      <c r="FH81" s="415"/>
      <c r="FI81" s="415"/>
      <c r="FJ81" s="415"/>
      <c r="FK81" s="415"/>
      <c r="FL81" s="415"/>
      <c r="FM81" s="415"/>
    </row>
    <row r="82" spans="1:169" hidden="1">
      <c r="A82" s="410" t="s">
        <v>1351</v>
      </c>
      <c r="B82" s="465" t="s">
        <v>1347</v>
      </c>
      <c r="C82" s="412"/>
      <c r="D82" s="412"/>
      <c r="E82" s="412"/>
      <c r="F82" s="412"/>
      <c r="G82" s="412"/>
      <c r="H82" s="412"/>
      <c r="I82" s="412"/>
      <c r="J82" s="412"/>
      <c r="K82" s="412"/>
      <c r="L82" s="412"/>
      <c r="M82" s="413"/>
      <c r="N82" s="413"/>
      <c r="O82" s="413"/>
      <c r="P82" s="413"/>
      <c r="Q82" s="413"/>
      <c r="R82" s="413"/>
      <c r="S82" s="413"/>
      <c r="T82" s="413"/>
      <c r="U82" s="413"/>
      <c r="V82" s="413"/>
      <c r="W82" s="413"/>
      <c r="X82" s="413"/>
      <c r="Y82" s="413"/>
      <c r="Z82" s="413"/>
      <c r="AA82" s="413"/>
      <c r="AB82" s="413"/>
      <c r="AC82" s="413"/>
      <c r="AD82" s="413"/>
      <c r="AE82" s="413"/>
      <c r="AF82" s="413"/>
      <c r="AG82" s="413"/>
      <c r="AH82" s="413"/>
      <c r="AI82" s="413"/>
      <c r="AJ82" s="413"/>
      <c r="AK82" s="413"/>
      <c r="AL82" s="413"/>
      <c r="AM82" s="413"/>
      <c r="AN82" s="413"/>
      <c r="AO82" s="414"/>
      <c r="AP82" s="413"/>
      <c r="AQ82" s="413"/>
      <c r="AR82" s="413"/>
      <c r="AS82" s="413"/>
      <c r="AT82" s="413"/>
      <c r="AU82" s="413"/>
      <c r="AV82" s="413"/>
      <c r="AW82" s="413"/>
      <c r="AX82" s="413"/>
      <c r="AY82" s="414"/>
      <c r="AZ82" s="413"/>
      <c r="BA82" s="413"/>
      <c r="BB82" s="413"/>
      <c r="BC82" s="413"/>
      <c r="BD82" s="413"/>
      <c r="BE82" s="413"/>
      <c r="BF82" s="413"/>
      <c r="BG82" s="413"/>
      <c r="BH82" s="413"/>
      <c r="BI82" s="414"/>
      <c r="BJ82" s="413"/>
      <c r="BK82" s="413"/>
      <c r="BL82" s="413"/>
      <c r="BM82" s="413"/>
      <c r="BN82" s="413"/>
      <c r="BO82" s="413"/>
      <c r="BP82" s="413"/>
      <c r="BQ82" s="413"/>
      <c r="BR82" s="413"/>
      <c r="BS82" s="413"/>
      <c r="BT82" s="413"/>
      <c r="BU82" s="413"/>
      <c r="BV82" s="413"/>
      <c r="BW82" s="413"/>
      <c r="BX82" s="413"/>
      <c r="BY82" s="413"/>
      <c r="BZ82" s="413"/>
      <c r="CA82" s="413"/>
      <c r="CB82" s="413"/>
      <c r="CC82" s="413"/>
      <c r="CD82" s="413"/>
      <c r="CE82" s="413"/>
      <c r="CF82" s="413"/>
      <c r="CG82" s="413"/>
      <c r="CH82" s="413"/>
      <c r="CI82" s="413"/>
      <c r="CJ82" s="413"/>
      <c r="CK82" s="413"/>
      <c r="CL82" s="413"/>
      <c r="CM82" s="414"/>
      <c r="CN82" s="413"/>
      <c r="CO82" s="413"/>
      <c r="CP82" s="413"/>
      <c r="CQ82" s="413"/>
      <c r="CR82" s="413"/>
      <c r="CS82" s="413"/>
      <c r="CT82" s="413"/>
      <c r="CU82" s="413"/>
      <c r="CV82" s="413"/>
      <c r="CW82" s="414"/>
      <c r="CX82" s="413"/>
      <c r="CY82" s="413"/>
      <c r="CZ82" s="413"/>
      <c r="DA82" s="413"/>
      <c r="DB82" s="413"/>
      <c r="DC82" s="413"/>
      <c r="DD82" s="413"/>
      <c r="DE82" s="413"/>
      <c r="DF82" s="413"/>
      <c r="DG82" s="414"/>
      <c r="DH82" s="413"/>
      <c r="DI82" s="413"/>
      <c r="DJ82" s="413"/>
      <c r="DK82" s="413"/>
      <c r="DL82" s="413"/>
      <c r="DM82" s="413"/>
      <c r="DN82" s="413"/>
      <c r="DO82" s="413"/>
      <c r="DP82" s="413"/>
      <c r="DQ82" s="414"/>
      <c r="DR82" s="413"/>
      <c r="DS82" s="413"/>
      <c r="DT82" s="413"/>
      <c r="DU82" s="413"/>
      <c r="DV82" s="413"/>
      <c r="DW82" s="413"/>
      <c r="DX82" s="413"/>
      <c r="DY82" s="413"/>
      <c r="DZ82" s="413"/>
      <c r="EA82" s="413"/>
      <c r="EB82" s="413"/>
      <c r="EC82" s="413"/>
      <c r="ED82" s="413"/>
      <c r="EE82" s="413"/>
      <c r="EF82" s="413"/>
      <c r="EG82" s="413"/>
      <c r="EH82" s="413"/>
      <c r="EI82" s="413"/>
      <c r="EJ82" s="413"/>
      <c r="EK82" s="413"/>
      <c r="EL82" s="413"/>
      <c r="EM82" s="452"/>
      <c r="EN82" s="413"/>
      <c r="EO82" s="453"/>
      <c r="EP82" s="413"/>
      <c r="EQ82" s="434"/>
      <c r="ER82" s="434"/>
      <c r="ES82" s="434"/>
      <c r="ET82" s="434"/>
      <c r="EU82" s="434"/>
      <c r="EV82" s="434"/>
      <c r="EW82" s="434"/>
      <c r="EX82" s="434"/>
      <c r="EY82" s="434"/>
      <c r="EZ82" s="434"/>
      <c r="FA82" s="434"/>
      <c r="FB82" s="434"/>
      <c r="FC82" s="399"/>
      <c r="FD82" s="399"/>
      <c r="FE82" s="399"/>
      <c r="FF82" s="399"/>
      <c r="FG82" s="415"/>
      <c r="FH82" s="415"/>
      <c r="FI82" s="415"/>
      <c r="FJ82" s="415"/>
      <c r="FK82" s="415"/>
      <c r="FL82" s="415"/>
      <c r="FM82" s="415"/>
    </row>
    <row r="83" spans="1:169" hidden="1">
      <c r="A83" s="410" t="s">
        <v>1350</v>
      </c>
      <c r="B83" s="465"/>
      <c r="C83" s="412"/>
      <c r="D83" s="412"/>
      <c r="E83" s="412"/>
      <c r="F83" s="412"/>
      <c r="G83" s="412"/>
      <c r="H83" s="412"/>
      <c r="I83" s="412"/>
      <c r="J83" s="412"/>
      <c r="K83" s="412"/>
      <c r="L83" s="412"/>
      <c r="M83" s="413"/>
      <c r="N83" s="413"/>
      <c r="O83" s="413"/>
      <c r="P83" s="413"/>
      <c r="Q83" s="413"/>
      <c r="R83" s="413"/>
      <c r="S83" s="413"/>
      <c r="T83" s="413"/>
      <c r="U83" s="413"/>
      <c r="V83" s="413"/>
      <c r="W83" s="413"/>
      <c r="X83" s="413"/>
      <c r="Y83" s="413"/>
      <c r="Z83" s="413"/>
      <c r="AA83" s="413"/>
      <c r="AB83" s="413"/>
      <c r="AC83" s="413"/>
      <c r="AD83" s="413"/>
      <c r="AE83" s="413"/>
      <c r="AF83" s="413"/>
      <c r="AG83" s="413"/>
      <c r="AH83" s="413"/>
      <c r="AI83" s="413"/>
      <c r="AJ83" s="413"/>
      <c r="AK83" s="413"/>
      <c r="AL83" s="413"/>
      <c r="AM83" s="413"/>
      <c r="AN83" s="413"/>
      <c r="AO83" s="414"/>
      <c r="AP83" s="413"/>
      <c r="AQ83" s="413"/>
      <c r="AR83" s="413"/>
      <c r="AS83" s="413"/>
      <c r="AT83" s="413"/>
      <c r="AU83" s="413"/>
      <c r="AV83" s="413"/>
      <c r="AW83" s="413"/>
      <c r="AX83" s="413"/>
      <c r="AY83" s="414"/>
      <c r="AZ83" s="413"/>
      <c r="BA83" s="413"/>
      <c r="BB83" s="413"/>
      <c r="BC83" s="413"/>
      <c r="BD83" s="413"/>
      <c r="BE83" s="413"/>
      <c r="BF83" s="413"/>
      <c r="BG83" s="413"/>
      <c r="BH83" s="413"/>
      <c r="BI83" s="414"/>
      <c r="BJ83" s="413"/>
      <c r="BK83" s="413"/>
      <c r="BL83" s="413"/>
      <c r="BM83" s="413"/>
      <c r="BN83" s="413"/>
      <c r="BO83" s="413"/>
      <c r="BP83" s="413"/>
      <c r="BQ83" s="413"/>
      <c r="BR83" s="413"/>
      <c r="BS83" s="413"/>
      <c r="BT83" s="413"/>
      <c r="BU83" s="413"/>
      <c r="BV83" s="413"/>
      <c r="BW83" s="413"/>
      <c r="BX83" s="413"/>
      <c r="BY83" s="413"/>
      <c r="BZ83" s="413"/>
      <c r="CA83" s="413"/>
      <c r="CB83" s="413"/>
      <c r="CC83" s="413"/>
      <c r="CD83" s="413"/>
      <c r="CE83" s="413"/>
      <c r="CF83" s="413"/>
      <c r="CG83" s="413"/>
      <c r="CH83" s="413"/>
      <c r="CI83" s="413"/>
      <c r="CJ83" s="413"/>
      <c r="CK83" s="413"/>
      <c r="CL83" s="413"/>
      <c r="CM83" s="414"/>
      <c r="CN83" s="413"/>
      <c r="CO83" s="413"/>
      <c r="CP83" s="413"/>
      <c r="CQ83" s="413"/>
      <c r="CR83" s="413"/>
      <c r="CS83" s="413"/>
      <c r="CT83" s="413"/>
      <c r="CU83" s="413"/>
      <c r="CV83" s="413"/>
      <c r="CW83" s="414"/>
      <c r="CX83" s="413"/>
      <c r="CY83" s="413"/>
      <c r="CZ83" s="413"/>
      <c r="DA83" s="413"/>
      <c r="DB83" s="413"/>
      <c r="DC83" s="413"/>
      <c r="DD83" s="413"/>
      <c r="DE83" s="413"/>
      <c r="DF83" s="413"/>
      <c r="DG83" s="414"/>
      <c r="DH83" s="413"/>
      <c r="DI83" s="413"/>
      <c r="DJ83" s="413"/>
      <c r="DK83" s="413"/>
      <c r="DL83" s="413"/>
      <c r="DM83" s="413"/>
      <c r="DN83" s="413"/>
      <c r="DO83" s="413"/>
      <c r="DP83" s="413"/>
      <c r="DQ83" s="414"/>
      <c r="DR83" s="413"/>
      <c r="DS83" s="413"/>
      <c r="DT83" s="413"/>
      <c r="DU83" s="413"/>
      <c r="DV83" s="413"/>
      <c r="DW83" s="413"/>
      <c r="DX83" s="413"/>
      <c r="DY83" s="413"/>
      <c r="DZ83" s="413"/>
      <c r="EA83" s="413"/>
      <c r="EB83" s="413"/>
      <c r="EC83" s="413"/>
      <c r="ED83" s="413"/>
      <c r="EE83" s="413"/>
      <c r="EF83" s="413"/>
      <c r="EG83" s="413"/>
      <c r="EH83" s="413"/>
      <c r="EI83" s="413"/>
      <c r="EJ83" s="413"/>
      <c r="EK83" s="413"/>
      <c r="EL83" s="413"/>
      <c r="EM83" s="452"/>
      <c r="EN83" s="413"/>
      <c r="EO83" s="453"/>
      <c r="EP83" s="413"/>
      <c r="EQ83" s="434"/>
      <c r="ER83" s="434"/>
      <c r="ES83" s="434"/>
      <c r="ET83" s="434"/>
      <c r="EU83" s="434"/>
      <c r="EV83" s="434"/>
      <c r="EW83" s="434"/>
      <c r="EX83" s="434"/>
      <c r="EY83" s="434"/>
      <c r="EZ83" s="434"/>
      <c r="FA83" s="434"/>
      <c r="FB83" s="434"/>
      <c r="FC83" s="399"/>
      <c r="FD83" s="399"/>
      <c r="FE83" s="399"/>
      <c r="FF83" s="399"/>
      <c r="FG83" s="415"/>
      <c r="FH83" s="415"/>
      <c r="FI83" s="415"/>
      <c r="FJ83" s="415"/>
      <c r="FK83" s="415"/>
      <c r="FL83" s="415"/>
      <c r="FM83" s="415"/>
    </row>
    <row r="84" spans="1:169" hidden="1">
      <c r="A84" s="410"/>
      <c r="B84" s="465" t="s">
        <v>672</v>
      </c>
      <c r="C84" s="412"/>
      <c r="D84" s="412"/>
      <c r="E84" s="412"/>
      <c r="F84" s="412"/>
      <c r="G84" s="412"/>
      <c r="H84" s="412"/>
      <c r="I84" s="412"/>
      <c r="J84" s="412"/>
      <c r="K84" s="412"/>
      <c r="L84" s="412"/>
      <c r="M84" s="413"/>
      <c r="N84" s="413"/>
      <c r="O84" s="413"/>
      <c r="P84" s="413"/>
      <c r="Q84" s="413"/>
      <c r="R84" s="413"/>
      <c r="S84" s="413"/>
      <c r="T84" s="413"/>
      <c r="U84" s="413"/>
      <c r="V84" s="413"/>
      <c r="W84" s="413"/>
      <c r="X84" s="413"/>
      <c r="Y84" s="413"/>
      <c r="Z84" s="413"/>
      <c r="AA84" s="413"/>
      <c r="AB84" s="413"/>
      <c r="AC84" s="413"/>
      <c r="AD84" s="413"/>
      <c r="AE84" s="413"/>
      <c r="AF84" s="413"/>
      <c r="AG84" s="413"/>
      <c r="AH84" s="413"/>
      <c r="AI84" s="413"/>
      <c r="AJ84" s="413"/>
      <c r="AK84" s="413"/>
      <c r="AL84" s="413"/>
      <c r="AM84" s="413"/>
      <c r="AN84" s="413"/>
      <c r="AO84" s="414"/>
      <c r="AP84" s="413"/>
      <c r="AQ84" s="413"/>
      <c r="AR84" s="413"/>
      <c r="AS84" s="413"/>
      <c r="AT84" s="413"/>
      <c r="AU84" s="413"/>
      <c r="AV84" s="413"/>
      <c r="AW84" s="413"/>
      <c r="AX84" s="413"/>
      <c r="AY84" s="414"/>
      <c r="AZ84" s="413"/>
      <c r="BA84" s="413"/>
      <c r="BB84" s="413"/>
      <c r="BC84" s="413"/>
      <c r="BD84" s="413"/>
      <c r="BE84" s="413"/>
      <c r="BF84" s="413"/>
      <c r="BG84" s="413"/>
      <c r="BH84" s="413"/>
      <c r="BI84" s="414"/>
      <c r="BJ84" s="413"/>
      <c r="BK84" s="413"/>
      <c r="BL84" s="413"/>
      <c r="BM84" s="413"/>
      <c r="BN84" s="413"/>
      <c r="BO84" s="413"/>
      <c r="BP84" s="413"/>
      <c r="BQ84" s="413"/>
      <c r="BR84" s="413"/>
      <c r="BS84" s="413"/>
      <c r="BT84" s="413"/>
      <c r="BU84" s="413"/>
      <c r="BV84" s="413"/>
      <c r="BW84" s="413"/>
      <c r="BX84" s="413"/>
      <c r="BY84" s="413"/>
      <c r="BZ84" s="413"/>
      <c r="CA84" s="413"/>
      <c r="CB84" s="413"/>
      <c r="CC84" s="413"/>
      <c r="CD84" s="413"/>
      <c r="CE84" s="413"/>
      <c r="CF84" s="413"/>
      <c r="CG84" s="413"/>
      <c r="CH84" s="413"/>
      <c r="CI84" s="413"/>
      <c r="CJ84" s="413"/>
      <c r="CK84" s="413"/>
      <c r="CL84" s="413"/>
      <c r="CM84" s="414"/>
      <c r="CN84" s="413"/>
      <c r="CO84" s="413"/>
      <c r="CP84" s="413"/>
      <c r="CQ84" s="413"/>
      <c r="CR84" s="413"/>
      <c r="CS84" s="413"/>
      <c r="CT84" s="413"/>
      <c r="CU84" s="413"/>
      <c r="CV84" s="413"/>
      <c r="CW84" s="414"/>
      <c r="CX84" s="413"/>
      <c r="CY84" s="413"/>
      <c r="CZ84" s="413"/>
      <c r="DA84" s="413"/>
      <c r="DB84" s="413"/>
      <c r="DC84" s="413"/>
      <c r="DD84" s="413"/>
      <c r="DE84" s="413"/>
      <c r="DF84" s="413"/>
      <c r="DG84" s="414"/>
      <c r="DH84" s="413"/>
      <c r="DI84" s="413"/>
      <c r="DJ84" s="413"/>
      <c r="DK84" s="413"/>
      <c r="DL84" s="413"/>
      <c r="DM84" s="413"/>
      <c r="DN84" s="413"/>
      <c r="DO84" s="413"/>
      <c r="DP84" s="413"/>
      <c r="DQ84" s="414"/>
      <c r="DR84" s="413"/>
      <c r="DS84" s="413"/>
      <c r="DT84" s="413"/>
      <c r="DU84" s="413"/>
      <c r="DV84" s="413"/>
      <c r="DW84" s="413"/>
      <c r="DX84" s="413"/>
      <c r="DY84" s="413"/>
      <c r="DZ84" s="413"/>
      <c r="EA84" s="413"/>
      <c r="EB84" s="413"/>
      <c r="EC84" s="413"/>
      <c r="ED84" s="413"/>
      <c r="EE84" s="413"/>
      <c r="EF84" s="413"/>
      <c r="EG84" s="413"/>
      <c r="EH84" s="413"/>
      <c r="EI84" s="413"/>
      <c r="EJ84" s="413"/>
      <c r="EK84" s="413"/>
      <c r="EL84" s="413"/>
      <c r="EM84" s="452"/>
      <c r="EN84" s="413"/>
      <c r="EO84" s="453"/>
      <c r="EP84" s="413"/>
      <c r="EQ84" s="434"/>
      <c r="ER84" s="434"/>
      <c r="ES84" s="434"/>
      <c r="ET84" s="434"/>
      <c r="EU84" s="434"/>
      <c r="EV84" s="434"/>
      <c r="EW84" s="434"/>
      <c r="EX84" s="434"/>
      <c r="EY84" s="434"/>
      <c r="EZ84" s="434"/>
      <c r="FA84" s="434"/>
      <c r="FB84" s="434"/>
      <c r="FC84" s="399"/>
      <c r="FD84" s="399"/>
      <c r="FE84" s="399"/>
      <c r="FF84" s="399"/>
      <c r="FG84" s="415"/>
      <c r="FH84" s="415"/>
      <c r="FI84" s="415"/>
      <c r="FJ84" s="415"/>
      <c r="FK84" s="415"/>
      <c r="FL84" s="415"/>
      <c r="FM84" s="415"/>
    </row>
    <row r="85" spans="1:169" hidden="1">
      <c r="A85" s="410"/>
      <c r="B85" s="57" t="s">
        <v>153</v>
      </c>
      <c r="C85" s="412"/>
      <c r="D85" s="412"/>
      <c r="E85" s="412"/>
      <c r="F85" s="412"/>
      <c r="G85" s="412"/>
      <c r="H85" s="412"/>
      <c r="I85" s="412"/>
      <c r="J85" s="412"/>
      <c r="K85" s="412"/>
      <c r="L85" s="412"/>
      <c r="M85" s="413"/>
      <c r="N85" s="413"/>
      <c r="O85" s="413"/>
      <c r="P85" s="413"/>
      <c r="Q85" s="413"/>
      <c r="R85" s="413"/>
      <c r="S85" s="413"/>
      <c r="T85" s="413"/>
      <c r="U85" s="413"/>
      <c r="V85" s="413"/>
      <c r="W85" s="413"/>
      <c r="X85" s="413"/>
      <c r="Y85" s="413"/>
      <c r="Z85" s="413"/>
      <c r="AA85" s="413"/>
      <c r="AB85" s="413"/>
      <c r="AC85" s="413"/>
      <c r="AD85" s="413"/>
      <c r="AE85" s="413"/>
      <c r="AF85" s="413"/>
      <c r="AG85" s="413"/>
      <c r="AH85" s="413"/>
      <c r="AI85" s="413"/>
      <c r="AJ85" s="413"/>
      <c r="AK85" s="413"/>
      <c r="AL85" s="413"/>
      <c r="AM85" s="413"/>
      <c r="AN85" s="413"/>
      <c r="AO85" s="414"/>
      <c r="AP85" s="413"/>
      <c r="AQ85" s="413"/>
      <c r="AR85" s="413"/>
      <c r="AS85" s="413"/>
      <c r="AT85" s="413"/>
      <c r="AU85" s="413"/>
      <c r="AV85" s="413"/>
      <c r="AW85" s="413"/>
      <c r="AX85" s="413"/>
      <c r="AY85" s="414"/>
      <c r="AZ85" s="413"/>
      <c r="BA85" s="413"/>
      <c r="BB85" s="413"/>
      <c r="BC85" s="413"/>
      <c r="BD85" s="413"/>
      <c r="BE85" s="413"/>
      <c r="BF85" s="413"/>
      <c r="BG85" s="413"/>
      <c r="BH85" s="413"/>
      <c r="BI85" s="414"/>
      <c r="BJ85" s="413"/>
      <c r="BK85" s="413"/>
      <c r="BL85" s="413"/>
      <c r="BM85" s="413"/>
      <c r="BN85" s="413"/>
      <c r="BO85" s="413"/>
      <c r="BP85" s="413"/>
      <c r="BQ85" s="413"/>
      <c r="BR85" s="413"/>
      <c r="BS85" s="413"/>
      <c r="BT85" s="413"/>
      <c r="BU85" s="413"/>
      <c r="BV85" s="413"/>
      <c r="BW85" s="413"/>
      <c r="BX85" s="413"/>
      <c r="BY85" s="413"/>
      <c r="BZ85" s="413"/>
      <c r="CA85" s="413"/>
      <c r="CB85" s="413"/>
      <c r="CC85" s="413"/>
      <c r="CD85" s="413"/>
      <c r="CE85" s="413"/>
      <c r="CF85" s="413"/>
      <c r="CG85" s="413"/>
      <c r="CH85" s="413"/>
      <c r="CI85" s="413"/>
      <c r="CJ85" s="413"/>
      <c r="CK85" s="413"/>
      <c r="CL85" s="413"/>
      <c r="CM85" s="414"/>
      <c r="CN85" s="413"/>
      <c r="CO85" s="413"/>
      <c r="CP85" s="413"/>
      <c r="CQ85" s="413"/>
      <c r="CR85" s="413"/>
      <c r="CS85" s="413"/>
      <c r="CT85" s="413"/>
      <c r="CU85" s="413"/>
      <c r="CV85" s="413"/>
      <c r="CW85" s="414"/>
      <c r="CX85" s="413"/>
      <c r="CY85" s="413"/>
      <c r="CZ85" s="413"/>
      <c r="DA85" s="413"/>
      <c r="DB85" s="413"/>
      <c r="DC85" s="413"/>
      <c r="DD85" s="413"/>
      <c r="DE85" s="413"/>
      <c r="DF85" s="413"/>
      <c r="DG85" s="414"/>
      <c r="DH85" s="413"/>
      <c r="DI85" s="413"/>
      <c r="DJ85" s="413"/>
      <c r="DK85" s="413"/>
      <c r="DL85" s="413"/>
      <c r="DM85" s="413"/>
      <c r="DN85" s="413"/>
      <c r="DO85" s="413"/>
      <c r="DP85" s="413"/>
      <c r="DQ85" s="414"/>
      <c r="DR85" s="413"/>
      <c r="DS85" s="413"/>
      <c r="DT85" s="413"/>
      <c r="DU85" s="413"/>
      <c r="DV85" s="413"/>
      <c r="DW85" s="413"/>
      <c r="DX85" s="413"/>
      <c r="DY85" s="413"/>
      <c r="DZ85" s="413"/>
      <c r="EA85" s="413"/>
      <c r="EB85" s="413"/>
      <c r="EC85" s="413"/>
      <c r="ED85" s="413"/>
      <c r="EE85" s="413"/>
      <c r="EF85" s="413"/>
      <c r="EG85" s="413"/>
      <c r="EH85" s="413"/>
      <c r="EI85" s="413"/>
      <c r="EJ85" s="413"/>
      <c r="EK85" s="413"/>
      <c r="EL85" s="413"/>
      <c r="EM85" s="452"/>
      <c r="EN85" s="413"/>
      <c r="EO85" s="453"/>
      <c r="EP85" s="413"/>
      <c r="EQ85" s="434"/>
      <c r="ER85" s="434"/>
      <c r="ES85" s="434"/>
      <c r="ET85" s="434"/>
      <c r="EU85" s="434"/>
      <c r="EV85" s="434"/>
      <c r="EW85" s="434"/>
      <c r="EX85" s="434"/>
      <c r="EY85" s="434"/>
      <c r="EZ85" s="434"/>
      <c r="FA85" s="434"/>
      <c r="FB85" s="434"/>
      <c r="FC85" s="399"/>
      <c r="FD85" s="399"/>
      <c r="FE85" s="399"/>
      <c r="FF85" s="399"/>
      <c r="FG85" s="415"/>
      <c r="FH85" s="415"/>
      <c r="FI85" s="415"/>
      <c r="FJ85" s="415"/>
      <c r="FK85" s="415"/>
      <c r="FL85" s="415"/>
      <c r="FM85" s="415"/>
    </row>
    <row r="86" spans="1:169" hidden="1">
      <c r="A86" s="410"/>
      <c r="B86" s="57"/>
      <c r="C86" s="412"/>
      <c r="D86" s="412"/>
      <c r="E86" s="412"/>
      <c r="F86" s="412"/>
      <c r="G86" s="412"/>
      <c r="H86" s="412"/>
      <c r="I86" s="412"/>
      <c r="J86" s="412"/>
      <c r="K86" s="412"/>
      <c r="L86" s="412"/>
      <c r="M86" s="413"/>
      <c r="N86" s="413"/>
      <c r="O86" s="413"/>
      <c r="P86" s="413"/>
      <c r="Q86" s="413"/>
      <c r="R86" s="413"/>
      <c r="S86" s="413"/>
      <c r="T86" s="413"/>
      <c r="U86" s="413"/>
      <c r="V86" s="413"/>
      <c r="W86" s="413"/>
      <c r="X86" s="413"/>
      <c r="Y86" s="413"/>
      <c r="Z86" s="413"/>
      <c r="AA86" s="413"/>
      <c r="AB86" s="413"/>
      <c r="AC86" s="413"/>
      <c r="AD86" s="413"/>
      <c r="AE86" s="413"/>
      <c r="AF86" s="413"/>
      <c r="AG86" s="413"/>
      <c r="AH86" s="413"/>
      <c r="AI86" s="413"/>
      <c r="AJ86" s="413"/>
      <c r="AK86" s="413"/>
      <c r="AL86" s="413"/>
      <c r="AM86" s="413"/>
      <c r="AN86" s="413"/>
      <c r="AO86" s="414"/>
      <c r="AP86" s="413"/>
      <c r="AQ86" s="413"/>
      <c r="AR86" s="413"/>
      <c r="AS86" s="413"/>
      <c r="AT86" s="413"/>
      <c r="AU86" s="413"/>
      <c r="AV86" s="413"/>
      <c r="AW86" s="413"/>
      <c r="AX86" s="413"/>
      <c r="AY86" s="414"/>
      <c r="AZ86" s="413"/>
      <c r="BA86" s="413"/>
      <c r="BB86" s="413"/>
      <c r="BC86" s="413"/>
      <c r="BD86" s="413"/>
      <c r="BE86" s="413"/>
      <c r="BF86" s="413"/>
      <c r="BG86" s="413"/>
      <c r="BH86" s="413"/>
      <c r="BI86" s="414"/>
      <c r="BJ86" s="413"/>
      <c r="BK86" s="413"/>
      <c r="BL86" s="413"/>
      <c r="BM86" s="413"/>
      <c r="BN86" s="413"/>
      <c r="BO86" s="413"/>
      <c r="BP86" s="413"/>
      <c r="BQ86" s="413"/>
      <c r="BR86" s="413"/>
      <c r="BS86" s="413"/>
      <c r="BT86" s="413"/>
      <c r="BU86" s="413"/>
      <c r="BV86" s="413"/>
      <c r="BW86" s="413"/>
      <c r="BX86" s="413"/>
      <c r="BY86" s="413"/>
      <c r="BZ86" s="413"/>
      <c r="CA86" s="413"/>
      <c r="CB86" s="413"/>
      <c r="CC86" s="413"/>
      <c r="CD86" s="413"/>
      <c r="CE86" s="413"/>
      <c r="CF86" s="413"/>
      <c r="CG86" s="413"/>
      <c r="CH86" s="413"/>
      <c r="CI86" s="413"/>
      <c r="CJ86" s="413"/>
      <c r="CK86" s="413"/>
      <c r="CL86" s="413"/>
      <c r="CM86" s="414"/>
      <c r="CN86" s="413"/>
      <c r="CO86" s="413"/>
      <c r="CP86" s="413"/>
      <c r="CQ86" s="413"/>
      <c r="CR86" s="413"/>
      <c r="CS86" s="413"/>
      <c r="CT86" s="413"/>
      <c r="CU86" s="413"/>
      <c r="CV86" s="413"/>
      <c r="CW86" s="414"/>
      <c r="CX86" s="413"/>
      <c r="CY86" s="413"/>
      <c r="CZ86" s="413"/>
      <c r="DA86" s="413"/>
      <c r="DB86" s="413"/>
      <c r="DC86" s="413"/>
      <c r="DD86" s="413"/>
      <c r="DE86" s="413"/>
      <c r="DF86" s="413"/>
      <c r="DG86" s="414"/>
      <c r="DH86" s="413"/>
      <c r="DI86" s="413"/>
      <c r="DJ86" s="413"/>
      <c r="DK86" s="413"/>
      <c r="DL86" s="413"/>
      <c r="DM86" s="413"/>
      <c r="DN86" s="413"/>
      <c r="DO86" s="413"/>
      <c r="DP86" s="413"/>
      <c r="DQ86" s="414"/>
      <c r="DR86" s="413"/>
      <c r="DS86" s="413"/>
      <c r="DT86" s="413"/>
      <c r="DU86" s="413"/>
      <c r="DV86" s="413"/>
      <c r="DW86" s="413"/>
      <c r="DX86" s="413"/>
      <c r="DY86" s="413"/>
      <c r="DZ86" s="413"/>
      <c r="EA86" s="413"/>
      <c r="EB86" s="413"/>
      <c r="EC86" s="413"/>
      <c r="ED86" s="413"/>
      <c r="EE86" s="413"/>
      <c r="EF86" s="413"/>
      <c r="EG86" s="413"/>
      <c r="EH86" s="413"/>
      <c r="EI86" s="413"/>
      <c r="EJ86" s="413"/>
      <c r="EK86" s="413"/>
      <c r="EL86" s="413"/>
      <c r="EM86" s="452"/>
      <c r="EN86" s="413"/>
      <c r="EO86" s="453"/>
      <c r="EP86" s="413"/>
      <c r="EQ86" s="434"/>
      <c r="ER86" s="434"/>
      <c r="ES86" s="434"/>
      <c r="ET86" s="434"/>
      <c r="EU86" s="434"/>
      <c r="EV86" s="434"/>
      <c r="EW86" s="434"/>
      <c r="EX86" s="434"/>
      <c r="EY86" s="434"/>
      <c r="EZ86" s="434"/>
      <c r="FA86" s="434"/>
      <c r="FB86" s="434"/>
      <c r="FC86" s="399"/>
      <c r="FD86" s="399"/>
      <c r="FE86" s="399"/>
      <c r="FF86" s="399"/>
      <c r="FG86" s="415"/>
      <c r="FH86" s="415"/>
      <c r="FI86" s="415"/>
      <c r="FJ86" s="415"/>
      <c r="FK86" s="415"/>
      <c r="FL86" s="415"/>
      <c r="FM86" s="415"/>
    </row>
    <row r="87" spans="1:169" hidden="1">
      <c r="A87" s="410"/>
      <c r="B87" s="57" t="s">
        <v>1371</v>
      </c>
      <c r="C87" s="412"/>
      <c r="D87" s="412"/>
      <c r="E87" s="412"/>
      <c r="F87" s="412"/>
      <c r="G87" s="412"/>
      <c r="H87" s="412"/>
      <c r="I87" s="412"/>
      <c r="J87" s="412"/>
      <c r="K87" s="412"/>
      <c r="L87" s="412"/>
      <c r="M87" s="413"/>
      <c r="N87" s="413"/>
      <c r="O87" s="413"/>
      <c r="P87" s="413"/>
      <c r="Q87" s="413"/>
      <c r="R87" s="413"/>
      <c r="S87" s="413"/>
      <c r="T87" s="413"/>
      <c r="U87" s="413"/>
      <c r="V87" s="413"/>
      <c r="W87" s="413"/>
      <c r="X87" s="413"/>
      <c r="Y87" s="413"/>
      <c r="Z87" s="413"/>
      <c r="AA87" s="413"/>
      <c r="AB87" s="413"/>
      <c r="AC87" s="413"/>
      <c r="AD87" s="413"/>
      <c r="AE87" s="413"/>
      <c r="AF87" s="413"/>
      <c r="AG87" s="413"/>
      <c r="AH87" s="413"/>
      <c r="AI87" s="413"/>
      <c r="AJ87" s="413"/>
      <c r="AK87" s="413"/>
      <c r="AL87" s="413"/>
      <c r="AM87" s="413"/>
      <c r="AN87" s="413"/>
      <c r="AO87" s="414"/>
      <c r="AP87" s="413"/>
      <c r="AQ87" s="413"/>
      <c r="AR87" s="413"/>
      <c r="AS87" s="413"/>
      <c r="AT87" s="413"/>
      <c r="AU87" s="413"/>
      <c r="AV87" s="413"/>
      <c r="AW87" s="413"/>
      <c r="AX87" s="413"/>
      <c r="AY87" s="414"/>
      <c r="AZ87" s="413"/>
      <c r="BA87" s="413"/>
      <c r="BB87" s="413"/>
      <c r="BC87" s="413"/>
      <c r="BD87" s="413"/>
      <c r="BE87" s="413"/>
      <c r="BF87" s="413"/>
      <c r="BG87" s="413"/>
      <c r="BH87" s="413"/>
      <c r="BI87" s="414"/>
      <c r="BJ87" s="413"/>
      <c r="BK87" s="413"/>
      <c r="BL87" s="413"/>
      <c r="BM87" s="413"/>
      <c r="BN87" s="413"/>
      <c r="BO87" s="413"/>
      <c r="BP87" s="413"/>
      <c r="BQ87" s="413"/>
      <c r="BR87" s="413"/>
      <c r="BS87" s="413"/>
      <c r="BT87" s="413"/>
      <c r="BU87" s="413"/>
      <c r="BV87" s="413"/>
      <c r="BW87" s="413"/>
      <c r="BX87" s="413"/>
      <c r="BY87" s="413"/>
      <c r="BZ87" s="413"/>
      <c r="CA87" s="413"/>
      <c r="CB87" s="413"/>
      <c r="CC87" s="413"/>
      <c r="CD87" s="413"/>
      <c r="CE87" s="413"/>
      <c r="CF87" s="413"/>
      <c r="CG87" s="413"/>
      <c r="CH87" s="413"/>
      <c r="CI87" s="413"/>
      <c r="CJ87" s="413"/>
      <c r="CK87" s="413"/>
      <c r="CL87" s="413"/>
      <c r="CM87" s="414"/>
      <c r="CN87" s="413"/>
      <c r="CO87" s="413"/>
      <c r="CP87" s="413"/>
      <c r="CQ87" s="413"/>
      <c r="CR87" s="413"/>
      <c r="CS87" s="413"/>
      <c r="CT87" s="413"/>
      <c r="CU87" s="413"/>
      <c r="CV87" s="413"/>
      <c r="CW87" s="414"/>
      <c r="CX87" s="413"/>
      <c r="CY87" s="413"/>
      <c r="CZ87" s="413"/>
      <c r="DA87" s="413"/>
      <c r="DB87" s="413"/>
      <c r="DC87" s="413"/>
      <c r="DD87" s="413"/>
      <c r="DE87" s="413"/>
      <c r="DF87" s="413"/>
      <c r="DG87" s="414"/>
      <c r="DH87" s="413"/>
      <c r="DI87" s="413"/>
      <c r="DJ87" s="413"/>
      <c r="DK87" s="413"/>
      <c r="DL87" s="413"/>
      <c r="DM87" s="413"/>
      <c r="DN87" s="413"/>
      <c r="DO87" s="413"/>
      <c r="DP87" s="413"/>
      <c r="DQ87" s="414"/>
      <c r="DR87" s="413"/>
      <c r="DS87" s="413"/>
      <c r="DT87" s="413"/>
      <c r="DU87" s="413"/>
      <c r="DV87" s="413"/>
      <c r="DW87" s="413"/>
      <c r="DX87" s="413"/>
      <c r="DY87" s="413"/>
      <c r="DZ87" s="413"/>
      <c r="EA87" s="413"/>
      <c r="EB87" s="413"/>
      <c r="EC87" s="413"/>
      <c r="ED87" s="413"/>
      <c r="EE87" s="413"/>
      <c r="EF87" s="413"/>
      <c r="EG87" s="413"/>
      <c r="EH87" s="413"/>
      <c r="EI87" s="413"/>
      <c r="EJ87" s="413"/>
      <c r="EK87" s="413"/>
      <c r="EL87" s="413"/>
      <c r="EM87" s="452"/>
      <c r="EN87" s="413"/>
      <c r="EO87" s="453"/>
      <c r="EP87" s="413"/>
      <c r="EQ87" s="434"/>
      <c r="ER87" s="434"/>
      <c r="ES87" s="434"/>
      <c r="ET87" s="434"/>
      <c r="EU87" s="434"/>
      <c r="EV87" s="434"/>
      <c r="EW87" s="434"/>
      <c r="EX87" s="434"/>
      <c r="EY87" s="434"/>
      <c r="EZ87" s="434"/>
      <c r="FA87" s="434"/>
      <c r="FB87" s="434"/>
      <c r="FC87" s="399"/>
      <c r="FD87" s="399"/>
      <c r="FE87" s="399"/>
      <c r="FF87" s="399"/>
      <c r="FG87" s="415"/>
      <c r="FH87" s="415"/>
      <c r="FI87" s="415"/>
      <c r="FJ87" s="415"/>
      <c r="FK87" s="415"/>
      <c r="FL87" s="415"/>
      <c r="FM87" s="415"/>
    </row>
    <row r="88" spans="1:169" hidden="1">
      <c r="A88" s="410"/>
      <c r="B88" s="57"/>
      <c r="C88" s="412"/>
      <c r="D88" s="412"/>
      <c r="E88" s="412"/>
      <c r="F88" s="412"/>
      <c r="G88" s="412"/>
      <c r="H88" s="412"/>
      <c r="I88" s="412"/>
      <c r="J88" s="412"/>
      <c r="K88" s="412"/>
      <c r="L88" s="412"/>
      <c r="M88" s="413"/>
      <c r="N88" s="413"/>
      <c r="O88" s="413"/>
      <c r="P88" s="413"/>
      <c r="Q88" s="413"/>
      <c r="R88" s="413"/>
      <c r="S88" s="413"/>
      <c r="T88" s="413"/>
      <c r="U88" s="413"/>
      <c r="V88" s="413"/>
      <c r="W88" s="413"/>
      <c r="X88" s="413"/>
      <c r="Y88" s="413"/>
      <c r="Z88" s="413"/>
      <c r="AA88" s="413"/>
      <c r="AB88" s="413"/>
      <c r="AC88" s="413"/>
      <c r="AD88" s="413"/>
      <c r="AE88" s="413"/>
      <c r="AF88" s="413"/>
      <c r="AG88" s="413"/>
      <c r="AH88" s="413"/>
      <c r="AI88" s="413"/>
      <c r="AJ88" s="413"/>
      <c r="AK88" s="413"/>
      <c r="AL88" s="413"/>
      <c r="AM88" s="413"/>
      <c r="AN88" s="413"/>
      <c r="AO88" s="414"/>
      <c r="AP88" s="413"/>
      <c r="AQ88" s="413"/>
      <c r="AR88" s="413"/>
      <c r="AS88" s="413"/>
      <c r="AT88" s="413"/>
      <c r="AU88" s="413"/>
      <c r="AV88" s="413"/>
      <c r="AW88" s="413"/>
      <c r="AX88" s="413"/>
      <c r="AY88" s="414"/>
      <c r="AZ88" s="413"/>
      <c r="BA88" s="413"/>
      <c r="BB88" s="413"/>
      <c r="BC88" s="413"/>
      <c r="BD88" s="413"/>
      <c r="BE88" s="413"/>
      <c r="BF88" s="413"/>
      <c r="BG88" s="413"/>
      <c r="BH88" s="413"/>
      <c r="BI88" s="414"/>
      <c r="BJ88" s="413"/>
      <c r="BK88" s="413"/>
      <c r="BL88" s="413"/>
      <c r="BM88" s="413"/>
      <c r="BN88" s="413"/>
      <c r="BO88" s="413"/>
      <c r="BP88" s="413"/>
      <c r="BQ88" s="413"/>
      <c r="BR88" s="413"/>
      <c r="BS88" s="413"/>
      <c r="BT88" s="413"/>
      <c r="BU88" s="413"/>
      <c r="BV88" s="413"/>
      <c r="BW88" s="413"/>
      <c r="BX88" s="413"/>
      <c r="BY88" s="413"/>
      <c r="BZ88" s="413"/>
      <c r="CA88" s="413"/>
      <c r="CB88" s="413"/>
      <c r="CC88" s="413"/>
      <c r="CD88" s="413"/>
      <c r="CE88" s="413"/>
      <c r="CF88" s="413"/>
      <c r="CG88" s="413"/>
      <c r="CH88" s="413"/>
      <c r="CI88" s="413"/>
      <c r="CJ88" s="413"/>
      <c r="CK88" s="413"/>
      <c r="CL88" s="413"/>
      <c r="CM88" s="414"/>
      <c r="CN88" s="413"/>
      <c r="CO88" s="413"/>
      <c r="CP88" s="413"/>
      <c r="CQ88" s="413"/>
      <c r="CR88" s="413"/>
      <c r="CS88" s="413"/>
      <c r="CT88" s="413"/>
      <c r="CU88" s="413"/>
      <c r="CV88" s="413"/>
      <c r="CW88" s="414"/>
      <c r="CX88" s="413"/>
      <c r="CY88" s="413"/>
      <c r="CZ88" s="413"/>
      <c r="DA88" s="413"/>
      <c r="DB88" s="413"/>
      <c r="DC88" s="413"/>
      <c r="DD88" s="413"/>
      <c r="DE88" s="413"/>
      <c r="DF88" s="413"/>
      <c r="DG88" s="414"/>
      <c r="DH88" s="413"/>
      <c r="DI88" s="413"/>
      <c r="DJ88" s="413"/>
      <c r="DK88" s="413"/>
      <c r="DL88" s="413"/>
      <c r="DM88" s="413"/>
      <c r="DN88" s="413"/>
      <c r="DO88" s="413"/>
      <c r="DP88" s="413"/>
      <c r="DQ88" s="414"/>
      <c r="DR88" s="413"/>
      <c r="DS88" s="413"/>
      <c r="DT88" s="413"/>
      <c r="DU88" s="413"/>
      <c r="DV88" s="413"/>
      <c r="DW88" s="413"/>
      <c r="DX88" s="413"/>
      <c r="DY88" s="413"/>
      <c r="DZ88" s="413"/>
      <c r="EA88" s="413"/>
      <c r="EB88" s="413"/>
      <c r="EC88" s="413"/>
      <c r="ED88" s="413"/>
      <c r="EE88" s="413"/>
      <c r="EF88" s="413"/>
      <c r="EG88" s="413"/>
      <c r="EH88" s="413"/>
      <c r="EI88" s="413"/>
      <c r="EJ88" s="413"/>
      <c r="EK88" s="413"/>
      <c r="EL88" s="413"/>
      <c r="EM88" s="452"/>
      <c r="EN88" s="413"/>
      <c r="EO88" s="453"/>
      <c r="EP88" s="413"/>
      <c r="EQ88" s="434"/>
      <c r="ER88" s="434"/>
      <c r="ES88" s="434"/>
      <c r="ET88" s="434"/>
      <c r="EU88" s="434"/>
      <c r="EV88" s="434"/>
      <c r="EW88" s="434"/>
      <c r="EX88" s="434"/>
      <c r="EY88" s="434"/>
      <c r="EZ88" s="434"/>
      <c r="FA88" s="434"/>
      <c r="FB88" s="434"/>
      <c r="FC88" s="399"/>
      <c r="FD88" s="399"/>
      <c r="FE88" s="399"/>
      <c r="FF88" s="399"/>
      <c r="FG88" s="415"/>
      <c r="FH88" s="415"/>
      <c r="FI88" s="415"/>
      <c r="FJ88" s="415"/>
      <c r="FK88" s="415"/>
      <c r="FL88" s="415"/>
      <c r="FM88" s="415"/>
    </row>
    <row r="89" spans="1:169">
      <c r="A89" s="410" t="s">
        <v>33</v>
      </c>
      <c r="B89" s="406" t="s">
        <v>1228</v>
      </c>
      <c r="C89" s="412"/>
      <c r="D89" s="412"/>
      <c r="E89" s="412"/>
      <c r="F89" s="412"/>
      <c r="G89" s="412"/>
      <c r="H89" s="412"/>
      <c r="I89" s="412"/>
      <c r="J89" s="412"/>
      <c r="K89" s="412"/>
      <c r="L89" s="412"/>
      <c r="M89" s="413"/>
      <c r="N89" s="413"/>
      <c r="O89" s="413"/>
      <c r="P89" s="413"/>
      <c r="Q89" s="413"/>
      <c r="R89" s="413"/>
      <c r="S89" s="413"/>
      <c r="T89" s="413"/>
      <c r="U89" s="413"/>
      <c r="V89" s="413"/>
      <c r="W89" s="413"/>
      <c r="X89" s="413"/>
      <c r="Y89" s="413"/>
      <c r="Z89" s="413"/>
      <c r="AA89" s="413"/>
      <c r="AB89" s="413"/>
      <c r="AC89" s="413"/>
      <c r="AD89" s="413"/>
      <c r="AE89" s="413"/>
      <c r="AF89" s="413"/>
      <c r="AG89" s="413"/>
      <c r="AH89" s="413"/>
      <c r="AI89" s="413"/>
      <c r="AJ89" s="413"/>
      <c r="AK89" s="413"/>
      <c r="AL89" s="413"/>
      <c r="AM89" s="413"/>
      <c r="AN89" s="413"/>
      <c r="AO89" s="414"/>
      <c r="AP89" s="413"/>
      <c r="AQ89" s="413"/>
      <c r="AR89" s="413"/>
      <c r="AS89" s="413"/>
      <c r="AT89" s="413"/>
      <c r="AU89" s="413"/>
      <c r="AV89" s="413"/>
      <c r="AW89" s="413"/>
      <c r="AX89" s="413"/>
      <c r="AY89" s="414"/>
      <c r="AZ89" s="413"/>
      <c r="BA89" s="413"/>
      <c r="BB89" s="413"/>
      <c r="BC89" s="413"/>
      <c r="BD89" s="413"/>
      <c r="BE89" s="413"/>
      <c r="BF89" s="413"/>
      <c r="BG89" s="413"/>
      <c r="BH89" s="413"/>
      <c r="BI89" s="414"/>
      <c r="BJ89" s="413"/>
      <c r="BK89" s="413"/>
      <c r="BL89" s="413"/>
      <c r="BM89" s="413"/>
      <c r="BN89" s="413"/>
      <c r="BO89" s="413"/>
      <c r="BP89" s="413"/>
      <c r="BQ89" s="413"/>
      <c r="BR89" s="413"/>
      <c r="BS89" s="413"/>
      <c r="BT89" s="413"/>
      <c r="BU89" s="413"/>
      <c r="BV89" s="413"/>
      <c r="BW89" s="413"/>
      <c r="BX89" s="413"/>
      <c r="BY89" s="413"/>
      <c r="BZ89" s="413"/>
      <c r="CA89" s="413"/>
      <c r="CB89" s="413"/>
      <c r="CC89" s="413"/>
      <c r="CD89" s="413"/>
      <c r="CE89" s="413"/>
      <c r="CF89" s="413"/>
      <c r="CG89" s="413"/>
      <c r="CH89" s="413"/>
      <c r="CI89" s="413"/>
      <c r="CJ89" s="413"/>
      <c r="CK89" s="413"/>
      <c r="CL89" s="413"/>
      <c r="CM89" s="414"/>
      <c r="CN89" s="413"/>
      <c r="CO89" s="413"/>
      <c r="CP89" s="413"/>
      <c r="CQ89" s="413"/>
      <c r="CR89" s="413"/>
      <c r="CS89" s="413"/>
      <c r="CT89" s="413"/>
      <c r="CU89" s="413"/>
      <c r="CV89" s="413"/>
      <c r="CW89" s="414"/>
      <c r="CX89" s="413"/>
      <c r="CY89" s="413"/>
      <c r="CZ89" s="413"/>
      <c r="DA89" s="413"/>
      <c r="DB89" s="413"/>
      <c r="DC89" s="413"/>
      <c r="DD89" s="413"/>
      <c r="DE89" s="413"/>
      <c r="DF89" s="413"/>
      <c r="DG89" s="414"/>
      <c r="DH89" s="413"/>
      <c r="DI89" s="413"/>
      <c r="DJ89" s="413"/>
      <c r="DK89" s="413"/>
      <c r="DL89" s="413"/>
      <c r="DM89" s="413"/>
      <c r="DN89" s="413"/>
      <c r="DO89" s="413"/>
      <c r="DP89" s="413"/>
      <c r="DQ89" s="414"/>
      <c r="DR89" s="413"/>
      <c r="DS89" s="413"/>
      <c r="DT89" s="413"/>
      <c r="DU89" s="413"/>
      <c r="DV89" s="413"/>
      <c r="DW89" s="413"/>
      <c r="DX89" s="413"/>
      <c r="DY89" s="413"/>
      <c r="DZ89" s="413"/>
      <c r="EA89" s="413"/>
      <c r="EB89" s="413"/>
      <c r="EC89" s="413"/>
      <c r="ED89" s="413"/>
      <c r="EE89" s="413"/>
      <c r="EF89" s="413"/>
      <c r="EG89" s="413"/>
      <c r="EH89" s="413"/>
      <c r="EI89" s="413"/>
      <c r="EJ89" s="413"/>
      <c r="EK89" s="413"/>
      <c r="EL89" s="413"/>
      <c r="EM89" s="452"/>
      <c r="EN89" s="413"/>
      <c r="EO89" s="453"/>
      <c r="EP89" s="413"/>
      <c r="EQ89" s="434"/>
      <c r="ER89" s="434"/>
      <c r="ES89" s="434"/>
      <c r="ET89" s="434"/>
      <c r="EU89" s="434"/>
      <c r="EV89" s="434"/>
      <c r="EW89" s="434"/>
      <c r="EX89" s="434"/>
      <c r="EY89" s="434"/>
      <c r="EZ89" s="434"/>
      <c r="FA89" s="434"/>
      <c r="FB89" s="434"/>
      <c r="FC89" s="399"/>
      <c r="FD89" s="399"/>
      <c r="FE89" s="399"/>
      <c r="FF89" s="399"/>
      <c r="FG89" s="415"/>
      <c r="FH89" s="415"/>
      <c r="FI89" s="415"/>
      <c r="FJ89" s="415"/>
      <c r="FK89" s="415"/>
      <c r="FL89" s="415"/>
      <c r="FM89" s="415"/>
    </row>
    <row r="90" spans="1:169" hidden="1">
      <c r="A90" s="410"/>
      <c r="B90" s="411" t="s">
        <v>1198</v>
      </c>
      <c r="C90" s="412"/>
      <c r="D90" s="412"/>
      <c r="E90" s="412"/>
      <c r="F90" s="412"/>
      <c r="G90" s="412"/>
      <c r="H90" s="412"/>
      <c r="I90" s="412"/>
      <c r="J90" s="412"/>
      <c r="K90" s="412"/>
      <c r="L90" s="412"/>
      <c r="M90" s="413"/>
      <c r="N90" s="413"/>
      <c r="O90" s="413"/>
      <c r="P90" s="413"/>
      <c r="Q90" s="413"/>
      <c r="R90" s="413"/>
      <c r="S90" s="413"/>
      <c r="T90" s="413"/>
      <c r="U90" s="413"/>
      <c r="V90" s="413"/>
      <c r="W90" s="413"/>
      <c r="X90" s="413"/>
      <c r="Y90" s="413"/>
      <c r="Z90" s="413"/>
      <c r="AA90" s="413"/>
      <c r="AB90" s="413"/>
      <c r="AC90" s="413"/>
      <c r="AD90" s="413"/>
      <c r="AE90" s="413"/>
      <c r="AF90" s="413"/>
      <c r="AG90" s="413"/>
      <c r="AH90" s="413"/>
      <c r="AI90" s="413"/>
      <c r="AJ90" s="413"/>
      <c r="AK90" s="413"/>
      <c r="AL90" s="413"/>
      <c r="AM90" s="413"/>
      <c r="AN90" s="413"/>
      <c r="AO90" s="414"/>
      <c r="AP90" s="413"/>
      <c r="AQ90" s="413"/>
      <c r="AR90" s="413"/>
      <c r="AS90" s="413"/>
      <c r="AT90" s="413"/>
      <c r="AU90" s="413"/>
      <c r="AV90" s="413"/>
      <c r="AW90" s="413"/>
      <c r="AX90" s="413"/>
      <c r="AY90" s="414"/>
      <c r="AZ90" s="413"/>
      <c r="BA90" s="413"/>
      <c r="BB90" s="413"/>
      <c r="BC90" s="413"/>
      <c r="BD90" s="413"/>
      <c r="BE90" s="413"/>
      <c r="BF90" s="413"/>
      <c r="BG90" s="413"/>
      <c r="BH90" s="413"/>
      <c r="BI90" s="414"/>
      <c r="BJ90" s="413"/>
      <c r="BK90" s="413"/>
      <c r="BL90" s="413"/>
      <c r="BM90" s="413"/>
      <c r="BN90" s="413"/>
      <c r="BO90" s="413"/>
      <c r="BP90" s="413"/>
      <c r="BQ90" s="413"/>
      <c r="BR90" s="413"/>
      <c r="BS90" s="413"/>
      <c r="BT90" s="413"/>
      <c r="BU90" s="413"/>
      <c r="BV90" s="413"/>
      <c r="BW90" s="413"/>
      <c r="BX90" s="413"/>
      <c r="BY90" s="413"/>
      <c r="BZ90" s="413"/>
      <c r="CA90" s="413"/>
      <c r="CB90" s="413"/>
      <c r="CC90" s="413"/>
      <c r="CD90" s="413"/>
      <c r="CE90" s="413"/>
      <c r="CF90" s="413"/>
      <c r="CG90" s="413"/>
      <c r="CH90" s="413"/>
      <c r="CI90" s="413"/>
      <c r="CJ90" s="413"/>
      <c r="CK90" s="413"/>
      <c r="CL90" s="413"/>
      <c r="CM90" s="414"/>
      <c r="CN90" s="413"/>
      <c r="CO90" s="413"/>
      <c r="CP90" s="413"/>
      <c r="CQ90" s="413"/>
      <c r="CR90" s="413"/>
      <c r="CS90" s="413"/>
      <c r="CT90" s="413"/>
      <c r="CU90" s="413"/>
      <c r="CV90" s="413"/>
      <c r="CW90" s="414"/>
      <c r="CX90" s="413"/>
      <c r="CY90" s="413"/>
      <c r="CZ90" s="413"/>
      <c r="DA90" s="413"/>
      <c r="DB90" s="413"/>
      <c r="DC90" s="413"/>
      <c r="DD90" s="413"/>
      <c r="DE90" s="413"/>
      <c r="DF90" s="413"/>
      <c r="DG90" s="414"/>
      <c r="DH90" s="413"/>
      <c r="DI90" s="413"/>
      <c r="DJ90" s="413"/>
      <c r="DK90" s="413"/>
      <c r="DL90" s="413"/>
      <c r="DM90" s="413"/>
      <c r="DN90" s="413"/>
      <c r="DO90" s="413"/>
      <c r="DP90" s="413"/>
      <c r="DQ90" s="414"/>
      <c r="DR90" s="413"/>
      <c r="DS90" s="413"/>
      <c r="DT90" s="413"/>
      <c r="DU90" s="413"/>
      <c r="DV90" s="413"/>
      <c r="DW90" s="413"/>
      <c r="DX90" s="413"/>
      <c r="DY90" s="413"/>
      <c r="DZ90" s="413"/>
      <c r="EA90" s="413"/>
      <c r="EB90" s="413"/>
      <c r="EC90" s="413"/>
      <c r="ED90" s="413"/>
      <c r="EE90" s="413"/>
      <c r="EF90" s="413"/>
      <c r="EG90" s="413"/>
      <c r="EH90" s="413"/>
      <c r="EI90" s="413"/>
      <c r="EJ90" s="413"/>
      <c r="EK90" s="413"/>
      <c r="EL90" s="413"/>
      <c r="EM90" s="452"/>
      <c r="EN90" s="413"/>
      <c r="EO90" s="453"/>
      <c r="EP90" s="413"/>
      <c r="EQ90" s="434"/>
      <c r="ER90" s="434"/>
      <c r="ES90" s="434"/>
      <c r="ET90" s="434"/>
      <c r="EU90" s="434"/>
      <c r="EV90" s="434"/>
      <c r="EW90" s="434"/>
      <c r="EX90" s="434"/>
      <c r="EY90" s="434"/>
      <c r="EZ90" s="434"/>
      <c r="FA90" s="434"/>
      <c r="FB90" s="434"/>
      <c r="FC90" s="399"/>
      <c r="FD90" s="399"/>
      <c r="FE90" s="399"/>
      <c r="FF90" s="399"/>
      <c r="FG90" s="415"/>
      <c r="FH90" s="415"/>
      <c r="FI90" s="415"/>
      <c r="FJ90" s="415"/>
      <c r="FK90" s="415"/>
      <c r="FL90" s="415"/>
      <c r="FM90" s="415"/>
    </row>
    <row r="91" spans="1:169" hidden="1">
      <c r="A91" s="410"/>
      <c r="B91" s="416" t="s">
        <v>1199</v>
      </c>
      <c r="C91" s="412"/>
      <c r="D91" s="412"/>
      <c r="E91" s="412"/>
      <c r="F91" s="412"/>
      <c r="G91" s="412"/>
      <c r="H91" s="412"/>
      <c r="I91" s="412"/>
      <c r="J91" s="412"/>
      <c r="K91" s="412"/>
      <c r="L91" s="412"/>
      <c r="M91" s="413"/>
      <c r="N91" s="413"/>
      <c r="O91" s="413"/>
      <c r="P91" s="413"/>
      <c r="Q91" s="413"/>
      <c r="R91" s="413"/>
      <c r="S91" s="413"/>
      <c r="T91" s="413"/>
      <c r="U91" s="413"/>
      <c r="V91" s="413"/>
      <c r="W91" s="413"/>
      <c r="X91" s="413"/>
      <c r="Y91" s="413"/>
      <c r="Z91" s="413"/>
      <c r="AA91" s="413"/>
      <c r="AB91" s="413"/>
      <c r="AC91" s="413"/>
      <c r="AD91" s="413"/>
      <c r="AE91" s="413"/>
      <c r="AF91" s="413"/>
      <c r="AG91" s="413"/>
      <c r="AH91" s="413"/>
      <c r="AI91" s="413"/>
      <c r="AJ91" s="413"/>
      <c r="AK91" s="413"/>
      <c r="AL91" s="413"/>
      <c r="AM91" s="413"/>
      <c r="AN91" s="413"/>
      <c r="AO91" s="414"/>
      <c r="AP91" s="413"/>
      <c r="AQ91" s="413"/>
      <c r="AR91" s="413"/>
      <c r="AS91" s="413"/>
      <c r="AT91" s="413"/>
      <c r="AU91" s="413"/>
      <c r="AV91" s="413"/>
      <c r="AW91" s="413"/>
      <c r="AX91" s="413"/>
      <c r="AY91" s="414"/>
      <c r="AZ91" s="413"/>
      <c r="BA91" s="413"/>
      <c r="BB91" s="413"/>
      <c r="BC91" s="413"/>
      <c r="BD91" s="413"/>
      <c r="BE91" s="413"/>
      <c r="BF91" s="413"/>
      <c r="BG91" s="413"/>
      <c r="BH91" s="413"/>
      <c r="BI91" s="414"/>
      <c r="BJ91" s="413"/>
      <c r="BK91" s="413"/>
      <c r="BL91" s="413"/>
      <c r="BM91" s="413"/>
      <c r="BN91" s="413"/>
      <c r="BO91" s="413"/>
      <c r="BP91" s="413"/>
      <c r="BQ91" s="413"/>
      <c r="BR91" s="413"/>
      <c r="BS91" s="413"/>
      <c r="BT91" s="413"/>
      <c r="BU91" s="413"/>
      <c r="BV91" s="413"/>
      <c r="BW91" s="413"/>
      <c r="BX91" s="413"/>
      <c r="BY91" s="413"/>
      <c r="BZ91" s="413"/>
      <c r="CA91" s="413"/>
      <c r="CB91" s="413"/>
      <c r="CC91" s="413"/>
      <c r="CD91" s="413"/>
      <c r="CE91" s="413"/>
      <c r="CF91" s="413"/>
      <c r="CG91" s="413"/>
      <c r="CH91" s="413"/>
      <c r="CI91" s="413"/>
      <c r="CJ91" s="413"/>
      <c r="CK91" s="413"/>
      <c r="CL91" s="413"/>
      <c r="CM91" s="414"/>
      <c r="CN91" s="413"/>
      <c r="CO91" s="413"/>
      <c r="CP91" s="413"/>
      <c r="CQ91" s="413"/>
      <c r="CR91" s="413"/>
      <c r="CS91" s="413"/>
      <c r="CT91" s="413"/>
      <c r="CU91" s="413"/>
      <c r="CV91" s="413"/>
      <c r="CW91" s="414"/>
      <c r="CX91" s="413"/>
      <c r="CY91" s="413"/>
      <c r="CZ91" s="413"/>
      <c r="DA91" s="413"/>
      <c r="DB91" s="413"/>
      <c r="DC91" s="413"/>
      <c r="DD91" s="413"/>
      <c r="DE91" s="413"/>
      <c r="DF91" s="413"/>
      <c r="DG91" s="414"/>
      <c r="DH91" s="413"/>
      <c r="DI91" s="413"/>
      <c r="DJ91" s="413"/>
      <c r="DK91" s="413"/>
      <c r="DL91" s="413"/>
      <c r="DM91" s="413"/>
      <c r="DN91" s="413"/>
      <c r="DO91" s="413"/>
      <c r="DP91" s="413"/>
      <c r="DQ91" s="414"/>
      <c r="DR91" s="413"/>
      <c r="DS91" s="413"/>
      <c r="DT91" s="413"/>
      <c r="DU91" s="413"/>
      <c r="DV91" s="413"/>
      <c r="DW91" s="413"/>
      <c r="DX91" s="413"/>
      <c r="DY91" s="413"/>
      <c r="DZ91" s="413"/>
      <c r="EA91" s="413"/>
      <c r="EB91" s="413"/>
      <c r="EC91" s="413"/>
      <c r="ED91" s="413"/>
      <c r="EE91" s="413"/>
      <c r="EF91" s="413"/>
      <c r="EG91" s="413"/>
      <c r="EH91" s="413"/>
      <c r="EI91" s="413"/>
      <c r="EJ91" s="413"/>
      <c r="EK91" s="413"/>
      <c r="EL91" s="413"/>
      <c r="EM91" s="452"/>
      <c r="EN91" s="413"/>
      <c r="EO91" s="453"/>
      <c r="EP91" s="413"/>
      <c r="EQ91" s="434"/>
      <c r="ER91" s="434"/>
      <c r="ES91" s="434"/>
      <c r="ET91" s="434"/>
      <c r="EU91" s="434"/>
      <c r="EV91" s="434"/>
      <c r="EW91" s="434"/>
      <c r="EX91" s="434"/>
      <c r="EY91" s="434"/>
      <c r="EZ91" s="434"/>
      <c r="FA91" s="434"/>
      <c r="FB91" s="434"/>
      <c r="FC91" s="399"/>
      <c r="FD91" s="399"/>
      <c r="FE91" s="399"/>
      <c r="FF91" s="399"/>
      <c r="FG91" s="415"/>
      <c r="FH91" s="415"/>
      <c r="FI91" s="415"/>
      <c r="FJ91" s="415"/>
      <c r="FK91" s="415"/>
      <c r="FL91" s="415"/>
      <c r="FM91" s="415"/>
    </row>
    <row r="92" spans="1:169" hidden="1">
      <c r="A92" s="410"/>
      <c r="B92" s="416" t="s">
        <v>672</v>
      </c>
      <c r="C92" s="412"/>
      <c r="D92" s="412"/>
      <c r="E92" s="412"/>
      <c r="F92" s="412"/>
      <c r="G92" s="412"/>
      <c r="H92" s="412"/>
      <c r="I92" s="412"/>
      <c r="J92" s="412"/>
      <c r="K92" s="412"/>
      <c r="L92" s="412"/>
      <c r="M92" s="413"/>
      <c r="N92" s="413"/>
      <c r="O92" s="413"/>
      <c r="P92" s="413"/>
      <c r="Q92" s="413"/>
      <c r="R92" s="413"/>
      <c r="S92" s="413"/>
      <c r="T92" s="413"/>
      <c r="U92" s="413"/>
      <c r="V92" s="413"/>
      <c r="W92" s="413"/>
      <c r="X92" s="413"/>
      <c r="Y92" s="413"/>
      <c r="Z92" s="413"/>
      <c r="AA92" s="413"/>
      <c r="AB92" s="413"/>
      <c r="AC92" s="413"/>
      <c r="AD92" s="413"/>
      <c r="AE92" s="413"/>
      <c r="AF92" s="413"/>
      <c r="AG92" s="413"/>
      <c r="AH92" s="413"/>
      <c r="AI92" s="413"/>
      <c r="AJ92" s="413"/>
      <c r="AK92" s="413"/>
      <c r="AL92" s="413"/>
      <c r="AM92" s="413"/>
      <c r="AN92" s="413"/>
      <c r="AO92" s="414"/>
      <c r="AP92" s="413"/>
      <c r="AQ92" s="413"/>
      <c r="AR92" s="413"/>
      <c r="AS92" s="413"/>
      <c r="AT92" s="413"/>
      <c r="AU92" s="413"/>
      <c r="AV92" s="413"/>
      <c r="AW92" s="413"/>
      <c r="AX92" s="413"/>
      <c r="AY92" s="414"/>
      <c r="AZ92" s="413"/>
      <c r="BA92" s="413"/>
      <c r="BB92" s="413"/>
      <c r="BC92" s="413"/>
      <c r="BD92" s="413"/>
      <c r="BE92" s="413"/>
      <c r="BF92" s="413"/>
      <c r="BG92" s="413"/>
      <c r="BH92" s="413"/>
      <c r="BI92" s="414"/>
      <c r="BJ92" s="413"/>
      <c r="BK92" s="413"/>
      <c r="BL92" s="413"/>
      <c r="BM92" s="413"/>
      <c r="BN92" s="413"/>
      <c r="BO92" s="413"/>
      <c r="BP92" s="413"/>
      <c r="BQ92" s="413"/>
      <c r="BR92" s="413"/>
      <c r="BS92" s="413"/>
      <c r="BT92" s="413"/>
      <c r="BU92" s="413"/>
      <c r="BV92" s="413"/>
      <c r="BW92" s="413"/>
      <c r="BX92" s="413"/>
      <c r="BY92" s="413"/>
      <c r="BZ92" s="413"/>
      <c r="CA92" s="413"/>
      <c r="CB92" s="413"/>
      <c r="CC92" s="413"/>
      <c r="CD92" s="413"/>
      <c r="CE92" s="413"/>
      <c r="CF92" s="413"/>
      <c r="CG92" s="413"/>
      <c r="CH92" s="413"/>
      <c r="CI92" s="413"/>
      <c r="CJ92" s="413"/>
      <c r="CK92" s="413"/>
      <c r="CL92" s="413"/>
      <c r="CM92" s="414"/>
      <c r="CN92" s="413"/>
      <c r="CO92" s="413"/>
      <c r="CP92" s="413"/>
      <c r="CQ92" s="413"/>
      <c r="CR92" s="413"/>
      <c r="CS92" s="413"/>
      <c r="CT92" s="413"/>
      <c r="CU92" s="413"/>
      <c r="CV92" s="413"/>
      <c r="CW92" s="414"/>
      <c r="CX92" s="413"/>
      <c r="CY92" s="413"/>
      <c r="CZ92" s="413"/>
      <c r="DA92" s="413"/>
      <c r="DB92" s="413"/>
      <c r="DC92" s="413"/>
      <c r="DD92" s="413"/>
      <c r="DE92" s="413"/>
      <c r="DF92" s="413"/>
      <c r="DG92" s="414"/>
      <c r="DH92" s="413"/>
      <c r="DI92" s="413"/>
      <c r="DJ92" s="413"/>
      <c r="DK92" s="413"/>
      <c r="DL92" s="413"/>
      <c r="DM92" s="413"/>
      <c r="DN92" s="413"/>
      <c r="DO92" s="413"/>
      <c r="DP92" s="413"/>
      <c r="DQ92" s="414"/>
      <c r="DR92" s="413"/>
      <c r="DS92" s="413"/>
      <c r="DT92" s="413"/>
      <c r="DU92" s="413"/>
      <c r="DV92" s="413"/>
      <c r="DW92" s="413"/>
      <c r="DX92" s="413"/>
      <c r="DY92" s="413"/>
      <c r="DZ92" s="413"/>
      <c r="EA92" s="413"/>
      <c r="EB92" s="413"/>
      <c r="EC92" s="413"/>
      <c r="ED92" s="413"/>
      <c r="EE92" s="413"/>
      <c r="EF92" s="413"/>
      <c r="EG92" s="413"/>
      <c r="EH92" s="413"/>
      <c r="EI92" s="413"/>
      <c r="EJ92" s="413"/>
      <c r="EK92" s="413"/>
      <c r="EL92" s="413"/>
      <c r="EM92" s="452"/>
      <c r="EN92" s="413"/>
      <c r="EO92" s="453"/>
      <c r="EP92" s="413"/>
      <c r="EQ92" s="434"/>
      <c r="ER92" s="434"/>
      <c r="ES92" s="434"/>
      <c r="ET92" s="434"/>
      <c r="EU92" s="434"/>
      <c r="EV92" s="434"/>
      <c r="EW92" s="434"/>
      <c r="EX92" s="434"/>
      <c r="EY92" s="434"/>
      <c r="EZ92" s="434"/>
      <c r="FA92" s="434"/>
      <c r="FB92" s="434"/>
      <c r="FC92" s="399"/>
      <c r="FD92" s="399"/>
      <c r="FE92" s="399"/>
      <c r="FF92" s="399"/>
      <c r="FG92" s="415"/>
      <c r="FH92" s="415"/>
      <c r="FI92" s="415"/>
      <c r="FJ92" s="415"/>
      <c r="FK92" s="415"/>
      <c r="FL92" s="415"/>
      <c r="FM92" s="415"/>
    </row>
    <row r="93" spans="1:169" hidden="1">
      <c r="A93" s="410"/>
      <c r="B93" s="416"/>
      <c r="C93" s="412"/>
      <c r="D93" s="412"/>
      <c r="E93" s="412"/>
      <c r="F93" s="412"/>
      <c r="G93" s="412"/>
      <c r="H93" s="412"/>
      <c r="I93" s="412"/>
      <c r="J93" s="412"/>
      <c r="K93" s="412"/>
      <c r="L93" s="412"/>
      <c r="M93" s="413"/>
      <c r="N93" s="413"/>
      <c r="O93" s="413"/>
      <c r="P93" s="413"/>
      <c r="Q93" s="413"/>
      <c r="R93" s="413"/>
      <c r="S93" s="413"/>
      <c r="T93" s="413"/>
      <c r="U93" s="413"/>
      <c r="V93" s="413"/>
      <c r="W93" s="413"/>
      <c r="X93" s="413"/>
      <c r="Y93" s="413"/>
      <c r="Z93" s="413"/>
      <c r="AA93" s="413"/>
      <c r="AB93" s="413"/>
      <c r="AC93" s="413"/>
      <c r="AD93" s="413"/>
      <c r="AE93" s="413"/>
      <c r="AF93" s="413"/>
      <c r="AG93" s="413"/>
      <c r="AH93" s="413"/>
      <c r="AI93" s="413"/>
      <c r="AJ93" s="413"/>
      <c r="AK93" s="413"/>
      <c r="AL93" s="413"/>
      <c r="AM93" s="413"/>
      <c r="AN93" s="413"/>
      <c r="AO93" s="414"/>
      <c r="AP93" s="413"/>
      <c r="AQ93" s="413"/>
      <c r="AR93" s="413"/>
      <c r="AS93" s="413"/>
      <c r="AT93" s="413"/>
      <c r="AU93" s="413"/>
      <c r="AV93" s="413"/>
      <c r="AW93" s="413"/>
      <c r="AX93" s="413"/>
      <c r="AY93" s="414"/>
      <c r="AZ93" s="413"/>
      <c r="BA93" s="413"/>
      <c r="BB93" s="413"/>
      <c r="BC93" s="413"/>
      <c r="BD93" s="413"/>
      <c r="BE93" s="413"/>
      <c r="BF93" s="413"/>
      <c r="BG93" s="413"/>
      <c r="BH93" s="413"/>
      <c r="BI93" s="414"/>
      <c r="BJ93" s="413"/>
      <c r="BK93" s="413"/>
      <c r="BL93" s="413"/>
      <c r="BM93" s="413"/>
      <c r="BN93" s="413"/>
      <c r="BO93" s="413"/>
      <c r="BP93" s="413"/>
      <c r="BQ93" s="413"/>
      <c r="BR93" s="413"/>
      <c r="BS93" s="413"/>
      <c r="BT93" s="413"/>
      <c r="BU93" s="413"/>
      <c r="BV93" s="413"/>
      <c r="BW93" s="413"/>
      <c r="BX93" s="413"/>
      <c r="BY93" s="413"/>
      <c r="BZ93" s="413"/>
      <c r="CA93" s="413"/>
      <c r="CB93" s="413"/>
      <c r="CC93" s="413"/>
      <c r="CD93" s="413"/>
      <c r="CE93" s="413"/>
      <c r="CF93" s="413"/>
      <c r="CG93" s="413"/>
      <c r="CH93" s="413"/>
      <c r="CI93" s="413"/>
      <c r="CJ93" s="413"/>
      <c r="CK93" s="413"/>
      <c r="CL93" s="413"/>
      <c r="CM93" s="414"/>
      <c r="CN93" s="413"/>
      <c r="CO93" s="413"/>
      <c r="CP93" s="413"/>
      <c r="CQ93" s="413"/>
      <c r="CR93" s="413"/>
      <c r="CS93" s="413"/>
      <c r="CT93" s="413"/>
      <c r="CU93" s="413"/>
      <c r="CV93" s="413"/>
      <c r="CW93" s="414"/>
      <c r="CX93" s="413"/>
      <c r="CY93" s="413"/>
      <c r="CZ93" s="413"/>
      <c r="DA93" s="413"/>
      <c r="DB93" s="413"/>
      <c r="DC93" s="413"/>
      <c r="DD93" s="413"/>
      <c r="DE93" s="413"/>
      <c r="DF93" s="413"/>
      <c r="DG93" s="414"/>
      <c r="DH93" s="413"/>
      <c r="DI93" s="413"/>
      <c r="DJ93" s="413"/>
      <c r="DK93" s="413"/>
      <c r="DL93" s="413"/>
      <c r="DM93" s="413"/>
      <c r="DN93" s="413"/>
      <c r="DO93" s="413"/>
      <c r="DP93" s="413"/>
      <c r="DQ93" s="414"/>
      <c r="DR93" s="413"/>
      <c r="DS93" s="413"/>
      <c r="DT93" s="413"/>
      <c r="DU93" s="413"/>
      <c r="DV93" s="413"/>
      <c r="DW93" s="413"/>
      <c r="DX93" s="413"/>
      <c r="DY93" s="413"/>
      <c r="DZ93" s="413"/>
      <c r="EA93" s="413"/>
      <c r="EB93" s="413"/>
      <c r="EC93" s="413"/>
      <c r="ED93" s="413"/>
      <c r="EE93" s="413"/>
      <c r="EF93" s="413"/>
      <c r="EG93" s="413"/>
      <c r="EH93" s="413"/>
      <c r="EI93" s="413"/>
      <c r="EJ93" s="413"/>
      <c r="EK93" s="413"/>
      <c r="EL93" s="413"/>
      <c r="EM93" s="452"/>
      <c r="EN93" s="413"/>
      <c r="EO93" s="453"/>
      <c r="EP93" s="413"/>
      <c r="EQ93" s="434"/>
      <c r="ER93" s="434"/>
      <c r="ES93" s="434"/>
      <c r="ET93" s="434"/>
      <c r="EU93" s="434"/>
      <c r="EV93" s="434"/>
      <c r="EW93" s="434"/>
      <c r="EX93" s="434"/>
      <c r="EY93" s="434"/>
      <c r="EZ93" s="434"/>
      <c r="FA93" s="434"/>
      <c r="FB93" s="434"/>
      <c r="FC93" s="399"/>
      <c r="FD93" s="399"/>
      <c r="FE93" s="399"/>
      <c r="FF93" s="399"/>
      <c r="FG93" s="415"/>
      <c r="FH93" s="415"/>
      <c r="FI93" s="415"/>
      <c r="FJ93" s="415"/>
      <c r="FK93" s="415"/>
      <c r="FL93" s="415"/>
      <c r="FM93" s="415"/>
    </row>
    <row r="94" spans="1:169">
      <c r="A94" s="410" t="s">
        <v>39</v>
      </c>
      <c r="B94" s="406" t="s">
        <v>1200</v>
      </c>
      <c r="C94" s="412"/>
      <c r="D94" s="412"/>
      <c r="E94" s="412"/>
      <c r="F94" s="412"/>
      <c r="G94" s="412"/>
      <c r="H94" s="412"/>
      <c r="I94" s="412"/>
      <c r="J94" s="412"/>
      <c r="K94" s="412"/>
      <c r="L94" s="412"/>
      <c r="M94" s="413"/>
      <c r="N94" s="413"/>
      <c r="O94" s="413"/>
      <c r="P94" s="413"/>
      <c r="Q94" s="413"/>
      <c r="R94" s="413"/>
      <c r="S94" s="413"/>
      <c r="T94" s="413"/>
      <c r="U94" s="413"/>
      <c r="V94" s="413"/>
      <c r="W94" s="413"/>
      <c r="X94" s="413"/>
      <c r="Y94" s="413"/>
      <c r="Z94" s="413"/>
      <c r="AA94" s="413"/>
      <c r="AB94" s="413"/>
      <c r="AC94" s="413"/>
      <c r="AD94" s="413"/>
      <c r="AE94" s="413"/>
      <c r="AF94" s="413"/>
      <c r="AG94" s="413"/>
      <c r="AH94" s="413"/>
      <c r="AI94" s="413"/>
      <c r="AJ94" s="413"/>
      <c r="AK94" s="413"/>
      <c r="AL94" s="413"/>
      <c r="AM94" s="413"/>
      <c r="AN94" s="413"/>
      <c r="AO94" s="414"/>
      <c r="AP94" s="413"/>
      <c r="AQ94" s="413"/>
      <c r="AR94" s="413"/>
      <c r="AS94" s="413"/>
      <c r="AT94" s="413"/>
      <c r="AU94" s="413"/>
      <c r="AV94" s="413"/>
      <c r="AW94" s="413"/>
      <c r="AX94" s="413"/>
      <c r="AY94" s="414"/>
      <c r="AZ94" s="413"/>
      <c r="BA94" s="413"/>
      <c r="BB94" s="413"/>
      <c r="BC94" s="413"/>
      <c r="BD94" s="413"/>
      <c r="BE94" s="413"/>
      <c r="BF94" s="413"/>
      <c r="BG94" s="413"/>
      <c r="BH94" s="413"/>
      <c r="BI94" s="414"/>
      <c r="BJ94" s="413"/>
      <c r="BK94" s="413"/>
      <c r="BL94" s="413"/>
      <c r="BM94" s="413"/>
      <c r="BN94" s="413"/>
      <c r="BO94" s="413"/>
      <c r="BP94" s="413"/>
      <c r="BQ94" s="413"/>
      <c r="BR94" s="413"/>
      <c r="BS94" s="413"/>
      <c r="BT94" s="413"/>
      <c r="BU94" s="413"/>
      <c r="BV94" s="413"/>
      <c r="BW94" s="413"/>
      <c r="BX94" s="413"/>
      <c r="BY94" s="413"/>
      <c r="BZ94" s="413"/>
      <c r="CA94" s="413"/>
      <c r="CB94" s="413"/>
      <c r="CC94" s="413"/>
      <c r="CD94" s="413"/>
      <c r="CE94" s="413"/>
      <c r="CF94" s="413"/>
      <c r="CG94" s="413"/>
      <c r="CH94" s="413"/>
      <c r="CI94" s="413"/>
      <c r="CJ94" s="413"/>
      <c r="CK94" s="413"/>
      <c r="CL94" s="413"/>
      <c r="CM94" s="414"/>
      <c r="CN94" s="413"/>
      <c r="CO94" s="413"/>
      <c r="CP94" s="413"/>
      <c r="CQ94" s="413"/>
      <c r="CR94" s="413"/>
      <c r="CS94" s="413"/>
      <c r="CT94" s="413"/>
      <c r="CU94" s="413"/>
      <c r="CV94" s="413"/>
      <c r="CW94" s="414"/>
      <c r="CX94" s="413"/>
      <c r="CY94" s="413"/>
      <c r="CZ94" s="413"/>
      <c r="DA94" s="413"/>
      <c r="DB94" s="413"/>
      <c r="DC94" s="413"/>
      <c r="DD94" s="413"/>
      <c r="DE94" s="413"/>
      <c r="DF94" s="413"/>
      <c r="DG94" s="414"/>
      <c r="DH94" s="413"/>
      <c r="DI94" s="413"/>
      <c r="DJ94" s="413"/>
      <c r="DK94" s="413"/>
      <c r="DL94" s="413"/>
      <c r="DM94" s="413"/>
      <c r="DN94" s="413"/>
      <c r="DO94" s="413"/>
      <c r="DP94" s="413"/>
      <c r="DQ94" s="414"/>
      <c r="DR94" s="413"/>
      <c r="DS94" s="413"/>
      <c r="DT94" s="413"/>
      <c r="DU94" s="413"/>
      <c r="DV94" s="413"/>
      <c r="DW94" s="413"/>
      <c r="DX94" s="413"/>
      <c r="DY94" s="413"/>
      <c r="DZ94" s="413"/>
      <c r="EA94" s="413"/>
      <c r="EB94" s="413"/>
      <c r="EC94" s="413"/>
      <c r="ED94" s="413"/>
      <c r="EE94" s="413"/>
      <c r="EF94" s="413"/>
      <c r="EG94" s="413"/>
      <c r="EH94" s="413"/>
      <c r="EI94" s="413"/>
      <c r="EJ94" s="413"/>
      <c r="EK94" s="413"/>
      <c r="EL94" s="413"/>
      <c r="EM94" s="452"/>
      <c r="EN94" s="413"/>
      <c r="EO94" s="453"/>
      <c r="EP94" s="413"/>
      <c r="EQ94" s="434"/>
      <c r="ER94" s="434"/>
      <c r="ES94" s="434"/>
      <c r="ET94" s="434"/>
      <c r="EU94" s="434"/>
      <c r="EV94" s="434"/>
      <c r="EW94" s="434"/>
      <c r="EX94" s="434"/>
      <c r="EY94" s="434"/>
      <c r="EZ94" s="434"/>
      <c r="FA94" s="434"/>
      <c r="FB94" s="434"/>
      <c r="FC94" s="399"/>
      <c r="FD94" s="399"/>
      <c r="FE94" s="399"/>
      <c r="FF94" s="399"/>
      <c r="FG94" s="415"/>
      <c r="FH94" s="415"/>
      <c r="FI94" s="415"/>
      <c r="FJ94" s="415"/>
      <c r="FK94" s="415"/>
      <c r="FL94" s="415"/>
      <c r="FM94" s="415"/>
    </row>
    <row r="95" spans="1:169">
      <c r="A95" s="410" t="s">
        <v>15</v>
      </c>
      <c r="B95" s="411" t="str">
        <f>+F1_PP_Annual!B170</f>
        <v>DCM Sugars - Bagasse</v>
      </c>
      <c r="C95" s="917"/>
      <c r="D95" s="800"/>
      <c r="E95" s="412"/>
      <c r="F95" s="800"/>
      <c r="G95" s="940"/>
      <c r="H95" s="802"/>
      <c r="I95" s="802"/>
      <c r="J95" s="804"/>
      <c r="K95" s="800"/>
      <c r="L95" s="805"/>
      <c r="M95" s="413"/>
      <c r="N95" s="413"/>
      <c r="O95" s="413"/>
      <c r="P95" s="413"/>
      <c r="Q95" s="413"/>
      <c r="R95" s="413"/>
      <c r="S95" s="413"/>
      <c r="T95" s="413"/>
      <c r="U95" s="413"/>
      <c r="V95" s="413"/>
      <c r="W95" s="807"/>
      <c r="X95" s="413"/>
      <c r="Y95" s="413"/>
      <c r="Z95" s="413"/>
      <c r="AA95" s="413"/>
      <c r="AB95" s="413"/>
      <c r="AC95" s="413"/>
      <c r="AD95" s="413"/>
      <c r="AE95" s="413"/>
      <c r="AF95" s="413"/>
      <c r="AG95" s="413"/>
      <c r="AH95" s="413"/>
      <c r="AI95" s="413"/>
      <c r="AJ95" s="413"/>
      <c r="AK95" s="413"/>
      <c r="AL95" s="413"/>
      <c r="AM95" s="413"/>
      <c r="AN95" s="413"/>
      <c r="AO95" s="413"/>
      <c r="AP95" s="413"/>
      <c r="AQ95" s="807"/>
      <c r="AR95" s="413"/>
      <c r="AS95" s="413"/>
      <c r="AT95" s="413"/>
      <c r="AU95" s="413"/>
      <c r="AV95" s="413"/>
      <c r="AW95" s="413"/>
      <c r="AX95" s="413"/>
      <c r="AY95" s="413"/>
      <c r="AZ95" s="413"/>
      <c r="BA95" s="807"/>
      <c r="BB95" s="413"/>
      <c r="BC95" s="413"/>
      <c r="BD95" s="413"/>
      <c r="BE95" s="413"/>
      <c r="BF95" s="413"/>
      <c r="BG95" s="413"/>
      <c r="BH95" s="413"/>
      <c r="BI95" s="413"/>
      <c r="BJ95" s="413"/>
      <c r="BK95" s="807"/>
      <c r="BL95" s="413"/>
      <c r="BM95" s="413"/>
      <c r="BN95" s="413"/>
      <c r="BO95" s="413"/>
      <c r="BP95" s="413"/>
      <c r="BQ95" s="413"/>
      <c r="BR95" s="413"/>
      <c r="BS95" s="413"/>
      <c r="BT95" s="413"/>
      <c r="BU95" s="807"/>
      <c r="BV95" s="413"/>
      <c r="BW95" s="413"/>
      <c r="BX95" s="413"/>
      <c r="BY95" s="413"/>
      <c r="BZ95" s="413"/>
      <c r="CA95" s="413"/>
      <c r="CB95" s="413"/>
      <c r="CC95" s="413"/>
      <c r="CD95" s="413"/>
      <c r="CE95" s="807"/>
      <c r="CF95" s="413"/>
      <c r="CG95" s="413"/>
      <c r="CH95" s="413"/>
      <c r="CI95" s="413"/>
      <c r="CJ95" s="413"/>
      <c r="CK95" s="413"/>
      <c r="CL95" s="413"/>
      <c r="CM95" s="413"/>
      <c r="CN95" s="413"/>
      <c r="CO95" s="807"/>
      <c r="CP95" s="413"/>
      <c r="CQ95" s="413"/>
      <c r="CR95" s="413"/>
      <c r="CS95" s="413"/>
      <c r="CT95" s="413"/>
      <c r="CU95" s="413"/>
      <c r="CV95" s="413"/>
      <c r="CW95" s="413"/>
      <c r="CX95" s="413"/>
      <c r="CY95" s="807"/>
      <c r="CZ95" s="413"/>
      <c r="DA95" s="413"/>
      <c r="DB95" s="413"/>
      <c r="DC95" s="413"/>
      <c r="DD95" s="413"/>
      <c r="DE95" s="413"/>
      <c r="DF95" s="413"/>
      <c r="DG95" s="413"/>
      <c r="DH95" s="413"/>
      <c r="DI95" s="807"/>
      <c r="DJ95" s="413"/>
      <c r="DK95" s="413"/>
      <c r="DL95" s="413"/>
      <c r="DM95" s="413"/>
      <c r="DN95" s="413"/>
      <c r="DO95" s="413"/>
      <c r="DP95" s="413"/>
      <c r="DQ95" s="413"/>
      <c r="DR95" s="413"/>
      <c r="DS95" s="807"/>
      <c r="DT95" s="413"/>
      <c r="DU95" s="413"/>
      <c r="DV95" s="413"/>
      <c r="DW95" s="413"/>
      <c r="DX95" s="413"/>
      <c r="DY95" s="413"/>
      <c r="DZ95" s="413"/>
      <c r="EA95" s="413"/>
      <c r="EB95" s="413"/>
      <c r="EC95" s="807"/>
      <c r="ED95" s="413"/>
      <c r="EE95" s="413"/>
      <c r="EF95" s="413"/>
      <c r="EG95" s="413"/>
      <c r="EH95" s="413"/>
      <c r="EI95" s="413"/>
      <c r="EJ95" s="413"/>
      <c r="EK95" s="413"/>
      <c r="EL95" s="413"/>
      <c r="EM95" s="413"/>
      <c r="EN95" s="807"/>
      <c r="EO95" s="809"/>
      <c r="EP95" s="413"/>
      <c r="EQ95" s="939"/>
      <c r="ER95" s="434"/>
      <c r="ES95" s="434"/>
      <c r="ET95" s="434"/>
      <c r="EU95" s="434"/>
      <c r="EV95" s="434"/>
      <c r="EW95" s="434"/>
      <c r="EX95" s="434"/>
      <c r="EY95" s="434"/>
      <c r="EZ95" s="434"/>
      <c r="FA95" s="434"/>
      <c r="FB95" s="434"/>
      <c r="FC95" s="399"/>
      <c r="FD95" s="399"/>
      <c r="FE95" s="399"/>
      <c r="FF95" s="399"/>
      <c r="FG95" s="415"/>
      <c r="FH95" s="415"/>
      <c r="FI95" s="415"/>
      <c r="FJ95" s="415"/>
      <c r="FK95" s="415"/>
      <c r="FL95" s="415"/>
      <c r="FM95" s="415"/>
    </row>
    <row r="96" spans="1:169">
      <c r="A96" s="410" t="s">
        <v>16</v>
      </c>
      <c r="B96" s="411" t="s">
        <v>2149</v>
      </c>
      <c r="C96" s="917"/>
      <c r="D96" s="800"/>
      <c r="E96" s="412"/>
      <c r="F96" s="800"/>
      <c r="G96" s="940" t="s">
        <v>2144</v>
      </c>
      <c r="H96" s="802" t="s">
        <v>2036</v>
      </c>
      <c r="I96" s="802"/>
      <c r="J96" s="804">
        <f>+'[3]Summary '!$F$79</f>
        <v>12.75</v>
      </c>
      <c r="K96" s="800">
        <v>0</v>
      </c>
      <c r="L96" s="805">
        <f>+'Energy Balance'!$I$17</f>
        <v>3.1800000000000057E-2</v>
      </c>
      <c r="M96" s="413">
        <f>+J96*(1-L96)</f>
        <v>12.34455</v>
      </c>
      <c r="N96" s="413">
        <f>+[3]Data!$AB$87</f>
        <v>6.7320000000000002</v>
      </c>
      <c r="O96" s="413"/>
      <c r="P96" s="413"/>
      <c r="Q96" s="413">
        <f>IFERROR(+R96/N96*10,0)</f>
        <v>5.9500000000000011</v>
      </c>
      <c r="R96" s="413">
        <f>+[3]Data!$AB$103</f>
        <v>4.0055400000000008</v>
      </c>
      <c r="S96" s="413">
        <f>IFERROR(+T96/N96*10,0)</f>
        <v>-5.9500000000000011E-2</v>
      </c>
      <c r="T96" s="413">
        <f>-[3]Data!$AB$111</f>
        <v>-4.0055400000000012E-2</v>
      </c>
      <c r="U96" s="413"/>
      <c r="V96" s="413">
        <f t="shared" ref="V96" si="0">IFERROR(+W96/N96*10,0)</f>
        <v>5.8905000000000012</v>
      </c>
      <c r="W96" s="807">
        <f t="shared" ref="W96" si="1">+P96+R96+T96+U96</f>
        <v>3.9654846000000008</v>
      </c>
      <c r="X96" s="413">
        <f>+[3]Data!$AC$87</f>
        <v>6.9563999999999995</v>
      </c>
      <c r="Y96" s="413"/>
      <c r="Z96" s="413"/>
      <c r="AA96" s="413">
        <f>IFERROR(+AB96/X96*10,0)</f>
        <v>5.9500000000000011</v>
      </c>
      <c r="AB96" s="413">
        <f>+[3]Data!$AC$103</f>
        <v>4.1390580000000003</v>
      </c>
      <c r="AC96" s="413">
        <f>IFERROR(+AD96/X96*10,0)</f>
        <v>-5.9500000000000011E-2</v>
      </c>
      <c r="AD96" s="413">
        <f>-[3]Data!$AC$111</f>
        <v>-4.1390580000000003E-2</v>
      </c>
      <c r="AE96" s="413"/>
      <c r="AF96" s="413">
        <f>IFERROR(+AG96/X96*10,0)</f>
        <v>5.8905000000000012</v>
      </c>
      <c r="AG96" s="807">
        <f>+Z96+AB96+AD96+AE96</f>
        <v>4.0976674200000005</v>
      </c>
      <c r="AH96" s="413">
        <f>+[3]Data!$AD$87</f>
        <v>6.7320000000000002</v>
      </c>
      <c r="AI96" s="413"/>
      <c r="AJ96" s="413"/>
      <c r="AK96" s="413">
        <f>IFERROR(+AL96/AH96*10,0)</f>
        <v>5.9500000000000011</v>
      </c>
      <c r="AL96" s="413">
        <f>+[3]Data!$AD$103</f>
        <v>4.0055400000000008</v>
      </c>
      <c r="AM96" s="413">
        <f>IFERROR(+AN96/AH96*10,0)</f>
        <v>-5.9500000000000011E-2</v>
      </c>
      <c r="AN96" s="413">
        <f>-[3]Data!$AD$111</f>
        <v>-4.0055400000000012E-2</v>
      </c>
      <c r="AO96" s="414"/>
      <c r="AP96" s="413">
        <f>IFERROR(+AQ96/AH96*10,0)</f>
        <v>5.8905000000000012</v>
      </c>
      <c r="AQ96" s="807">
        <f>+AJ96+AL96+AN96+AO96</f>
        <v>3.9654846000000008</v>
      </c>
      <c r="AR96" s="413">
        <f>+[3]Data!$AE$87</f>
        <v>7.5888</v>
      </c>
      <c r="AS96" s="413"/>
      <c r="AT96" s="413"/>
      <c r="AU96" s="413">
        <f>IFERROR(+AV96/AR96*10,0)</f>
        <v>5.9499999999999993</v>
      </c>
      <c r="AV96" s="413">
        <f>+[3]Data!$AE$103</f>
        <v>4.5153359999999996</v>
      </c>
      <c r="AW96" s="413">
        <f>IFERROR(+AX96/AR96*10,0)</f>
        <v>-5.9499999999999997E-2</v>
      </c>
      <c r="AX96" s="413">
        <f>-[3]Data!$AE$111</f>
        <v>-4.5153359999999997E-2</v>
      </c>
      <c r="AY96" s="414"/>
      <c r="AZ96" s="413">
        <f t="shared" ref="AZ96:AZ97" si="2">IFERROR(+BA96/AR96*10,0)</f>
        <v>5.8904999999999994</v>
      </c>
      <c r="BA96" s="807">
        <f t="shared" ref="BA96:BA97" si="3">+AT96+AV96+AX96+AY96</f>
        <v>4.47018264</v>
      </c>
      <c r="BB96" s="413">
        <f>+[3]Data!$AF$87</f>
        <v>7.5888</v>
      </c>
      <c r="BC96" s="413"/>
      <c r="BD96" s="413"/>
      <c r="BE96" s="413">
        <f>IFERROR(+BF96/BB96*10,0)</f>
        <v>5.25</v>
      </c>
      <c r="BF96" s="413">
        <f>+[3]Data!$AF$103</f>
        <v>3.9841199999999999</v>
      </c>
      <c r="BG96" s="413">
        <f>IFERROR(+BH96/BB96*10,0)</f>
        <v>-5.2500000000000005E-2</v>
      </c>
      <c r="BH96" s="413">
        <f>-[3]Data!$AF$111</f>
        <v>-3.98412E-2</v>
      </c>
      <c r="BI96" s="413"/>
      <c r="BJ96" s="413">
        <f t="shared" ref="BJ96" si="4">IFERROR(+BK96/BB96*10,0)</f>
        <v>5.1974999999999998</v>
      </c>
      <c r="BK96" s="807">
        <f t="shared" ref="BK96" si="5">+BD96+BF96+BH96+BI96</f>
        <v>3.9442787999999998</v>
      </c>
      <c r="BL96" s="413">
        <f>+[3]Data!$AG$87</f>
        <v>7.3440000000000003</v>
      </c>
      <c r="BM96" s="413"/>
      <c r="BN96" s="413"/>
      <c r="BO96" s="413">
        <f>IFERROR(+BP96/BL96*10,0)</f>
        <v>5.25</v>
      </c>
      <c r="BP96" s="413">
        <f>+[3]Data!$AG$103</f>
        <v>3.8556000000000004</v>
      </c>
      <c r="BQ96" s="413">
        <f>IFERROR(+BR96/BL96*10,0)</f>
        <v>-5.2500000000000005E-2</v>
      </c>
      <c r="BR96" s="413">
        <f>-[3]Data!$AG$111</f>
        <v>-3.8556000000000007E-2</v>
      </c>
      <c r="BS96" s="413"/>
      <c r="BT96" s="413">
        <f t="shared" ref="BT96" si="6">IFERROR(+BU96/BL96*10,0)</f>
        <v>5.1975000000000007</v>
      </c>
      <c r="BU96" s="807">
        <f t="shared" ref="BU96" si="7">+BN96+BP96+BR96+BS96</f>
        <v>3.8170440000000005</v>
      </c>
      <c r="BV96" s="413">
        <f>+[3]Data!$AH$87</f>
        <v>8.2211999999999996</v>
      </c>
      <c r="BW96" s="413"/>
      <c r="BX96" s="413"/>
      <c r="BY96" s="413">
        <f>IFERROR(+BZ96/BV96*10,0)</f>
        <v>5.2499999999999991</v>
      </c>
      <c r="BZ96" s="413">
        <f>+[3]Data!$AH$103</f>
        <v>4.3161299999999994</v>
      </c>
      <c r="CA96" s="413">
        <f>IFERROR(+CB96/BV96*10,0)</f>
        <v>-5.2499999999999991E-2</v>
      </c>
      <c r="CB96" s="413">
        <f>-[3]Data!$AH$111</f>
        <v>-4.3161299999999993E-2</v>
      </c>
      <c r="CC96" s="413"/>
      <c r="CD96" s="413">
        <f t="shared" ref="CD96" si="8">IFERROR(+CE96/BV96*10,0)</f>
        <v>5.1974999999999998</v>
      </c>
      <c r="CE96" s="807">
        <f t="shared" ref="CE96" si="9">+BX96+BZ96+CB96+CC96</f>
        <v>4.272968699999999</v>
      </c>
      <c r="CF96" s="413">
        <f>+[3]Data!$AI$87</f>
        <v>7.9559999999999986</v>
      </c>
      <c r="CG96" s="413"/>
      <c r="CH96" s="413"/>
      <c r="CI96" s="413">
        <f>IFERROR(+CJ96/CF96*10,0)</f>
        <v>5.2499999999999991</v>
      </c>
      <c r="CJ96" s="413">
        <f>+[3]Data!$AI$103</f>
        <v>4.1768999999999989</v>
      </c>
      <c r="CK96" s="413">
        <f>IFERROR(+CL96/CF96*10,0)</f>
        <v>-5.2500000000000005E-2</v>
      </c>
      <c r="CL96" s="413">
        <f>-[3]Data!$AI$111</f>
        <v>-4.1768999999999994E-2</v>
      </c>
      <c r="CM96" s="413"/>
      <c r="CN96" s="413">
        <f t="shared" ref="CN96" si="10">IFERROR(+CO96/CF96*10,0)</f>
        <v>5.1974999999999998</v>
      </c>
      <c r="CO96" s="807">
        <f t="shared" ref="CO96" si="11">+CH96+CJ96+CL96+CM96</f>
        <v>4.1351309999999986</v>
      </c>
      <c r="CP96" s="807">
        <f>+[3]Data!$AJ$87</f>
        <v>8.2211999999999996</v>
      </c>
      <c r="CQ96" s="807"/>
      <c r="CR96" s="807"/>
      <c r="CS96" s="413">
        <f>IFERROR(+CT96/CP96*10,0)</f>
        <v>5.2499999999999991</v>
      </c>
      <c r="CT96" s="413">
        <f>+[3]Data!$AJ$103</f>
        <v>4.3161299999999994</v>
      </c>
      <c r="CU96" s="413">
        <f>IFERROR(+CV96/CP96*10,0)</f>
        <v>-5.2499999999999991E-2</v>
      </c>
      <c r="CV96" s="413">
        <f>-[3]Data!$AJ$111</f>
        <v>-4.3161299999999993E-2</v>
      </c>
      <c r="CW96" s="807"/>
      <c r="CX96" s="413">
        <f t="shared" ref="CX96" si="12">IFERROR(+CY96/CP96*10,0)</f>
        <v>5.1974999999999998</v>
      </c>
      <c r="CY96" s="807">
        <f t="shared" ref="CY96" si="13">+CR96+CT96+CV96+CW96</f>
        <v>4.272968699999999</v>
      </c>
      <c r="CZ96" s="413">
        <f>+[3]Data!$AK$87</f>
        <v>9.4860000000000007</v>
      </c>
      <c r="DA96" s="807"/>
      <c r="DB96" s="807"/>
      <c r="DC96" s="413">
        <f>IFERROR(+DD96/CZ96*10,0)</f>
        <v>5.25</v>
      </c>
      <c r="DD96" s="413">
        <f>+[3]Data!$AK$103</f>
        <v>4.9801500000000001</v>
      </c>
      <c r="DE96" s="413">
        <f>IFERROR(+DF96/CZ96*10,0)</f>
        <v>-5.2499999999999991E-2</v>
      </c>
      <c r="DF96" s="413">
        <f>-[3]Data!$AK$111</f>
        <v>-4.9801499999999999E-2</v>
      </c>
      <c r="DG96" s="807"/>
      <c r="DH96" s="413">
        <f t="shared" ref="DH96" si="14">IFERROR(+DI96/CZ96*10,0)</f>
        <v>5.1974999999999998</v>
      </c>
      <c r="DI96" s="807">
        <f t="shared" ref="DI96" si="15">+DB96+DD96+DF96+DG96</f>
        <v>4.9303485</v>
      </c>
      <c r="DJ96" s="413">
        <f>+[3]Data!$AL$87</f>
        <v>8.5679999999999996</v>
      </c>
      <c r="DK96" s="807"/>
      <c r="DL96" s="807"/>
      <c r="DM96" s="413">
        <f>IFERROR(+DN96/DJ96*10,0)</f>
        <v>5.25</v>
      </c>
      <c r="DN96" s="413">
        <f>+[3]Data!$AL$103</f>
        <v>4.4981999999999998</v>
      </c>
      <c r="DO96" s="413">
        <f>IFERROR(+DP96/DJ96*10,0)</f>
        <v>-5.2500000000000005E-2</v>
      </c>
      <c r="DP96" s="413">
        <f>-[3]Data!$AL$111</f>
        <v>-4.4982000000000001E-2</v>
      </c>
      <c r="DQ96" s="807"/>
      <c r="DR96" s="413">
        <f t="shared" ref="DR96" si="16">IFERROR(+DS96/DJ96*10,0)</f>
        <v>5.1974999999999998</v>
      </c>
      <c r="DS96" s="807">
        <f t="shared" ref="DS96" si="17">+DL96+DN96+DP96+DQ96</f>
        <v>4.4532179999999997</v>
      </c>
      <c r="DT96" s="413">
        <f>+[3]Data!$AM$87</f>
        <v>9.4860000000000007</v>
      </c>
      <c r="DU96" s="807"/>
      <c r="DV96" s="807"/>
      <c r="DW96" s="413">
        <f>IFERROR(+DX96/DT96*10,0)</f>
        <v>5.25</v>
      </c>
      <c r="DX96" s="413">
        <f>+[3]Data!$AM$103</f>
        <v>4.9801500000000001</v>
      </c>
      <c r="DY96" s="413">
        <f>IFERROR(+DZ96/DT96*10,0)</f>
        <v>-5.2499999999999991E-2</v>
      </c>
      <c r="DZ96" s="413">
        <f>-[3]Data!$AM$111</f>
        <v>-4.9801499999999999E-2</v>
      </c>
      <c r="EA96" s="807"/>
      <c r="EB96" s="413">
        <f t="shared" ref="EB96" si="18">IFERROR(+EC96/DT96*10,0)</f>
        <v>5.1974999999999998</v>
      </c>
      <c r="EC96" s="807">
        <f t="shared" ref="EC96" si="19">+DV96+DX96+DZ96+EA96</f>
        <v>4.9303485</v>
      </c>
      <c r="ED96" s="413"/>
      <c r="EE96" s="413">
        <f t="shared" ref="EE96:EE97" si="20">N96+X96+AH96+AR96+BB96+BL96+BV96+CF96+CP96+CZ96+DJ96+DT96</f>
        <v>94.880400000000009</v>
      </c>
      <c r="EF96" s="413"/>
      <c r="EG96" s="413"/>
      <c r="EH96" s="413">
        <f>IFERROR(+EI96/EE96*10,0)</f>
        <v>5.4566437325306385</v>
      </c>
      <c r="EI96" s="413">
        <f t="shared" ref="EI96:EI97" si="21">R96+AB96+AL96+AV96+BF96+BP96+BZ96+CJ96+CT96+DD96+DN96+DX96</f>
        <v>51.772854000000002</v>
      </c>
      <c r="EJ96" s="413">
        <f>IFERROR(+EK96/EE96*10,0)</f>
        <v>-5.4566437325306381E-2</v>
      </c>
      <c r="EK96" s="413">
        <f t="shared" ref="EK96:EK97" si="22">T96+AD96+AN96+AX96+BH96+BR96+CB96+CL96+CV96+DF96+DP96+DZ96</f>
        <v>-0.51772854000000001</v>
      </c>
      <c r="EL96" s="413"/>
      <c r="EM96" s="413">
        <f t="shared" ref="EM96:EM97" si="23">IFERROR(+EN96/EE96*10,0)</f>
        <v>5.4020772952053324</v>
      </c>
      <c r="EN96" s="807">
        <f t="shared" ref="EN96:EN97" si="24">+EG96+EI96+EK96+EL96</f>
        <v>51.255125460000002</v>
      </c>
      <c r="EO96" s="809">
        <f t="shared" ref="EO96:EO97" si="25">+EN96/EE96*10</f>
        <v>5.4020772952053324</v>
      </c>
      <c r="EP96" s="413">
        <f t="shared" ref="EP96:EP97" si="26">+EN96/M96*10</f>
        <v>41.52044866763066</v>
      </c>
      <c r="EQ96" s="434"/>
      <c r="ER96" s="434"/>
      <c r="ES96" s="434"/>
      <c r="ET96" s="434"/>
      <c r="EU96" s="434"/>
      <c r="EV96" s="434"/>
      <c r="EW96" s="434"/>
      <c r="EX96" s="434"/>
      <c r="EY96" s="434"/>
      <c r="EZ96" s="434"/>
      <c r="FA96" s="434"/>
      <c r="FB96" s="434"/>
      <c r="FC96" s="399"/>
      <c r="FD96" s="399"/>
      <c r="FE96" s="399"/>
      <c r="FF96" s="399"/>
      <c r="FG96" s="415"/>
      <c r="FH96" s="415"/>
      <c r="FI96" s="415"/>
      <c r="FJ96" s="415"/>
      <c r="FK96" s="415"/>
      <c r="FL96" s="415"/>
      <c r="FM96" s="415"/>
    </row>
    <row r="97" spans="1:169">
      <c r="A97" s="410" t="s">
        <v>17</v>
      </c>
      <c r="B97" s="416" t="str">
        <f>+F1_PP_Annual!B229</f>
        <v>IEX Purchase</v>
      </c>
      <c r="C97" s="412"/>
      <c r="D97" s="412"/>
      <c r="E97" s="412"/>
      <c r="F97" s="412"/>
      <c r="G97" s="412"/>
      <c r="H97" s="412"/>
      <c r="I97" s="412"/>
      <c r="J97" s="804">
        <f>+'[3]Summary '!$F$76</f>
        <v>1.1935562271882569</v>
      </c>
      <c r="K97" s="800">
        <v>0</v>
      </c>
      <c r="L97" s="805">
        <f>+'Energy Balance'!$I$17</f>
        <v>3.1800000000000057E-2</v>
      </c>
      <c r="M97" s="413">
        <f t="shared" ref="M97" si="27">+J97*(1-L97)</f>
        <v>1.1556011391636702</v>
      </c>
      <c r="N97" s="413">
        <f>+[3]Data!$AB$84</f>
        <v>0.59555775484447704</v>
      </c>
      <c r="O97" s="413"/>
      <c r="P97" s="413"/>
      <c r="Q97" s="413">
        <f>IFERROR(+R97/N97*10,0)</f>
        <v>5.9499999999999993</v>
      </c>
      <c r="R97" s="413">
        <f>+[3]Data!$AB$100</f>
        <v>0.35435686413246381</v>
      </c>
      <c r="S97" s="413"/>
      <c r="T97" s="413">
        <f>-[3]Data!P108+[3]Data!P116+[3]Data!P124</f>
        <v>1.1800000000000001E-3</v>
      </c>
      <c r="U97" s="413"/>
      <c r="V97" s="413">
        <f t="shared" ref="V97" si="28">IFERROR(+W97/N97*10,0)</f>
        <v>5.9698133596683354</v>
      </c>
      <c r="W97" s="807">
        <f t="shared" ref="W97" si="29">+P97+R97+T97+U97</f>
        <v>0.35553686413246383</v>
      </c>
      <c r="X97" s="413">
        <f>+[3]Data!$AC$84</f>
        <v>0.61540968000596141</v>
      </c>
      <c r="Y97" s="413"/>
      <c r="Z97" s="413"/>
      <c r="AA97" s="413">
        <f>IFERROR(+AB97/X97*10,0)</f>
        <v>5.9499999999999993</v>
      </c>
      <c r="AB97" s="413">
        <f>+[3]Data!$AC$100</f>
        <v>0.36616875960354706</v>
      </c>
      <c r="AC97" s="413"/>
      <c r="AD97" s="413"/>
      <c r="AE97" s="413"/>
      <c r="AF97" s="413">
        <f t="shared" ref="AF97" si="30">IFERROR(+AG97/X97*10,0)</f>
        <v>5.9499999999999993</v>
      </c>
      <c r="AG97" s="807">
        <f t="shared" ref="AG97" si="31">+Z97+AB97+AD97+AE97</f>
        <v>0.36616875960354706</v>
      </c>
      <c r="AH97" s="413">
        <f>+[3]Data!$AD$84</f>
        <v>0.59555775484447704</v>
      </c>
      <c r="AI97" s="413"/>
      <c r="AJ97" s="413"/>
      <c r="AK97" s="413">
        <f>IFERROR(+AL97/AH97*10,0)</f>
        <v>5.9499999999999993</v>
      </c>
      <c r="AL97" s="413">
        <f>+[3]Data!$AD$100</f>
        <v>0.35435686413246381</v>
      </c>
      <c r="AM97" s="413"/>
      <c r="AN97" s="413"/>
      <c r="AO97" s="413"/>
      <c r="AP97" s="413">
        <f t="shared" ref="AP97" si="32">IFERROR(+AQ97/AH97*10,0)</f>
        <v>5.9499999999999993</v>
      </c>
      <c r="AQ97" s="807">
        <f t="shared" ref="AQ97" si="33">+AJ97+AL97+AN97+AO97</f>
        <v>0.35435686413246381</v>
      </c>
      <c r="AR97" s="413">
        <f>+[3]Data!$AE$84</f>
        <v>0.93855178196455125</v>
      </c>
      <c r="AS97" s="413"/>
      <c r="AT97" s="413"/>
      <c r="AU97" s="413">
        <f>IFERROR(+AV97/AR97*10,0)</f>
        <v>5.9499999999999993</v>
      </c>
      <c r="AV97" s="413">
        <f>+[3]Data!$AE$100</f>
        <v>0.558438310268908</v>
      </c>
      <c r="AW97" s="413"/>
      <c r="AX97" s="413"/>
      <c r="AY97" s="413"/>
      <c r="AZ97" s="413">
        <f t="shared" si="2"/>
        <v>5.9499999999999993</v>
      </c>
      <c r="BA97" s="807">
        <f t="shared" si="3"/>
        <v>0.558438310268908</v>
      </c>
      <c r="BB97" s="413">
        <f>+[3]Data!$AF$84</f>
        <v>0.93855178196455125</v>
      </c>
      <c r="BC97" s="413"/>
      <c r="BD97" s="413"/>
      <c r="BE97" s="413">
        <f>IFERROR(+BF97/BB97*10,0)</f>
        <v>5.9499999999999993</v>
      </c>
      <c r="BF97" s="413">
        <f>+[3]Data!$AF$100</f>
        <v>0.558438310268908</v>
      </c>
      <c r="BG97" s="413"/>
      <c r="BH97" s="413"/>
      <c r="BI97" s="413"/>
      <c r="BJ97" s="413">
        <f t="shared" ref="BJ97" si="34">IFERROR(+BK97/BB97*10,0)</f>
        <v>5.9499999999999993</v>
      </c>
      <c r="BK97" s="807">
        <f t="shared" ref="BK97" si="35">+BD97+BF97+BH97+BI97</f>
        <v>0.558438310268908</v>
      </c>
      <c r="BL97" s="413">
        <f>+[3]Data!$AG$84</f>
        <v>0.90827591803021246</v>
      </c>
      <c r="BM97" s="413"/>
      <c r="BN97" s="413"/>
      <c r="BO97" s="413">
        <f>IFERROR(+BP97/BL97*10,0)</f>
        <v>5.9499999999999993</v>
      </c>
      <c r="BP97" s="413">
        <f>+[3]Data!$AG$100</f>
        <v>0.54042417122797637</v>
      </c>
      <c r="BQ97" s="413"/>
      <c r="BR97" s="413"/>
      <c r="BS97" s="413"/>
      <c r="BT97" s="413">
        <f t="shared" ref="BT97" si="36">IFERROR(+BU97/BL97*10,0)</f>
        <v>5.9499999999999993</v>
      </c>
      <c r="BU97" s="807">
        <f t="shared" ref="BU97" si="37">+BN97+BP97+BR97+BS97</f>
        <v>0.54042417122797637</v>
      </c>
      <c r="BV97" s="413">
        <f>+[3]Data!$AH$84</f>
        <v>1.1815997116342221</v>
      </c>
      <c r="BW97" s="413"/>
      <c r="BX97" s="413"/>
      <c r="BY97" s="413">
        <f>IFERROR(+BZ97/BV97*10,0)</f>
        <v>5.9499999999999993</v>
      </c>
      <c r="BZ97" s="413">
        <f>+[3]Data!$AH$100</f>
        <v>0.70305182842236214</v>
      </c>
      <c r="CA97" s="413"/>
      <c r="CB97" s="413"/>
      <c r="CC97" s="413"/>
      <c r="CD97" s="413">
        <f t="shared" ref="CD97" si="38">IFERROR(+CE97/BV97*10,0)</f>
        <v>5.9499999999999993</v>
      </c>
      <c r="CE97" s="807">
        <f t="shared" ref="CE97" si="39">+BX97+BZ97+CB97+CC97</f>
        <v>0.70305182842236214</v>
      </c>
      <c r="CF97" s="413">
        <f>+[3]Data!$AI$84</f>
        <v>1.1434835919040873</v>
      </c>
      <c r="CG97" s="413"/>
      <c r="CH97" s="413"/>
      <c r="CI97" s="413">
        <f>IFERROR(+CJ97/CF97*10,0)</f>
        <v>5.9500000000000011</v>
      </c>
      <c r="CJ97" s="413">
        <f>+[3]Data!$AI$100</f>
        <v>0.68037273718293201</v>
      </c>
      <c r="CK97" s="413"/>
      <c r="CL97" s="413"/>
      <c r="CM97" s="413"/>
      <c r="CN97" s="413">
        <f t="shared" ref="CN97" si="40">IFERROR(+CO97/CF97*10,0)</f>
        <v>5.9500000000000011</v>
      </c>
      <c r="CO97" s="807">
        <f t="shared" ref="CO97" si="41">+CH97+CJ97+CL97+CM97</f>
        <v>0.68037273718293201</v>
      </c>
      <c r="CP97" s="413">
        <f>+[3]Data!$AJ$84</f>
        <v>1.1815997116342221</v>
      </c>
      <c r="CQ97" s="413"/>
      <c r="CR97" s="413"/>
      <c r="CS97" s="413">
        <f>IFERROR(+CT97/CP97*10,0)</f>
        <v>5.9499999999999993</v>
      </c>
      <c r="CT97" s="413">
        <f>+[3]Data!$AJ$100</f>
        <v>0.70305182842236214</v>
      </c>
      <c r="CU97" s="413"/>
      <c r="CV97" s="413"/>
      <c r="CW97" s="413"/>
      <c r="CX97" s="413">
        <f t="shared" ref="CX97" si="42">IFERROR(+CY97/CP97*10,0)</f>
        <v>5.9499999999999993</v>
      </c>
      <c r="CY97" s="807">
        <f t="shared" ref="CY97" si="43">+CR97+CT97+CV97+CW97</f>
        <v>0.70305182842236214</v>
      </c>
      <c r="CZ97" s="413">
        <f>+[3]Data!$AK$84</f>
        <v>0.8164621585075178</v>
      </c>
      <c r="DA97" s="413"/>
      <c r="DB97" s="413"/>
      <c r="DC97" s="413">
        <f>IFERROR(+DD97/CZ97*10,0)</f>
        <v>5.9499999999999993</v>
      </c>
      <c r="DD97" s="413">
        <f>+[3]Data!$AK$100</f>
        <v>0.4857949843119731</v>
      </c>
      <c r="DE97" s="413"/>
      <c r="DF97" s="413"/>
      <c r="DG97" s="413"/>
      <c r="DH97" s="413">
        <f t="shared" ref="DH97" si="44">IFERROR(+DI97/CZ97*10,0)</f>
        <v>5.9499999999999993</v>
      </c>
      <c r="DI97" s="807">
        <f t="shared" ref="DI97" si="45">+DB97+DD97+DF97+DG97</f>
        <v>0.4857949843119731</v>
      </c>
      <c r="DJ97" s="413">
        <f>+[3]Data!$AL$84</f>
        <v>0.73744969155517737</v>
      </c>
      <c r="DK97" s="413"/>
      <c r="DL97" s="413"/>
      <c r="DM97" s="413">
        <f>IFERROR(+DN97/DJ97*10,0)</f>
        <v>5.9499999999999993</v>
      </c>
      <c r="DN97" s="413">
        <f>+[3]Data!$AL$100</f>
        <v>0.43878256647533054</v>
      </c>
      <c r="DO97" s="413"/>
      <c r="DP97" s="413"/>
      <c r="DQ97" s="413"/>
      <c r="DR97" s="413">
        <f t="shared" ref="DR97" si="46">IFERROR(+DS97/DJ97*10,0)</f>
        <v>5.9499999999999993</v>
      </c>
      <c r="DS97" s="807">
        <f t="shared" ref="DS97" si="47">+DL97+DN97+DP97+DQ97</f>
        <v>0.43878256647533054</v>
      </c>
      <c r="DT97" s="413">
        <f>+[3]Data!$AM$84</f>
        <v>0.8164621585075178</v>
      </c>
      <c r="DU97" s="413"/>
      <c r="DV97" s="413"/>
      <c r="DW97" s="413">
        <f>IFERROR(+DX97/DT97*10,0)</f>
        <v>5.9499999999999993</v>
      </c>
      <c r="DX97" s="413">
        <f>+[3]Data!$AM$100</f>
        <v>0.4857949843119731</v>
      </c>
      <c r="DY97" s="413"/>
      <c r="DZ97" s="413"/>
      <c r="EA97" s="413"/>
      <c r="EB97" s="413">
        <f t="shared" ref="EB97" si="48">IFERROR(+EC97/DT97*10,0)</f>
        <v>5.9499999999999993</v>
      </c>
      <c r="EC97" s="807">
        <f t="shared" ref="EC97" si="49">+DV97+DX97+DZ97+EA97</f>
        <v>0.4857949843119731</v>
      </c>
      <c r="ED97" s="413"/>
      <c r="EE97" s="413">
        <f t="shared" si="20"/>
        <v>10.468961695396974</v>
      </c>
      <c r="EF97" s="413"/>
      <c r="EG97" s="413"/>
      <c r="EH97" s="413">
        <f>IFERROR(+EI97/EE97*10,0)</f>
        <v>5.9500000000000011</v>
      </c>
      <c r="EI97" s="413">
        <f t="shared" si="21"/>
        <v>6.2290322087612005</v>
      </c>
      <c r="EJ97" s="413">
        <f>IFERROR(+EK97/EE97*10,0)</f>
        <v>1.1271413864460179E-3</v>
      </c>
      <c r="EK97" s="413">
        <f t="shared" si="22"/>
        <v>1.1800000000000001E-3</v>
      </c>
      <c r="EL97" s="413"/>
      <c r="EM97" s="413">
        <f t="shared" si="23"/>
        <v>5.9511271413864462</v>
      </c>
      <c r="EN97" s="807">
        <f t="shared" si="24"/>
        <v>6.2302122087612002</v>
      </c>
      <c r="EO97" s="809">
        <f t="shared" si="25"/>
        <v>5.9511271413864462</v>
      </c>
      <c r="EP97" s="413">
        <f t="shared" si="26"/>
        <v>53.913171228527162</v>
      </c>
      <c r="EQ97" s="434"/>
      <c r="ER97" s="434"/>
      <c r="ES97" s="434"/>
      <c r="ET97" s="434"/>
      <c r="EU97" s="434"/>
      <c r="EV97" s="434"/>
      <c r="EW97" s="434"/>
      <c r="EX97" s="434"/>
      <c r="EY97" s="434"/>
      <c r="EZ97" s="434"/>
      <c r="FA97" s="434"/>
      <c r="FB97" s="434"/>
      <c r="FC97" s="399"/>
      <c r="FD97" s="399"/>
      <c r="FE97" s="399"/>
      <c r="FF97" s="399"/>
      <c r="FG97" s="415"/>
      <c r="FH97" s="415"/>
      <c r="FI97" s="415"/>
      <c r="FJ97" s="415"/>
      <c r="FK97" s="415"/>
      <c r="FL97" s="415"/>
      <c r="FM97" s="415"/>
    </row>
    <row r="98" spans="1:169">
      <c r="A98" s="410" t="s">
        <v>20</v>
      </c>
      <c r="B98" s="412" t="str">
        <f>+F1_PP_Annual!B225</f>
        <v>UI Charges</v>
      </c>
      <c r="C98" s="412"/>
      <c r="D98" s="412"/>
      <c r="E98" s="412"/>
      <c r="F98" s="412"/>
      <c r="G98" s="412"/>
      <c r="H98" s="412"/>
      <c r="I98" s="412"/>
      <c r="J98" s="804"/>
      <c r="K98" s="806"/>
      <c r="L98" s="805"/>
      <c r="M98" s="413"/>
      <c r="N98" s="413"/>
      <c r="O98" s="413"/>
      <c r="P98" s="413"/>
      <c r="Q98" s="413"/>
      <c r="R98" s="413"/>
      <c r="S98" s="413"/>
      <c r="T98" s="413"/>
      <c r="U98" s="413"/>
      <c r="V98" s="413"/>
      <c r="W98" s="807"/>
      <c r="X98" s="413"/>
      <c r="Y98" s="413"/>
      <c r="Z98" s="413"/>
      <c r="AA98" s="413"/>
      <c r="AB98" s="413"/>
      <c r="AC98" s="413"/>
      <c r="AD98" s="413"/>
      <c r="AE98" s="413"/>
      <c r="AF98" s="413"/>
      <c r="AG98" s="807"/>
      <c r="AH98" s="413"/>
      <c r="AI98" s="413"/>
      <c r="AJ98" s="413"/>
      <c r="AK98" s="413"/>
      <c r="AL98" s="413"/>
      <c r="AM98" s="413"/>
      <c r="AN98" s="413"/>
      <c r="AO98" s="413"/>
      <c r="AP98" s="413"/>
      <c r="AQ98" s="807"/>
      <c r="AR98" s="413"/>
      <c r="AS98" s="413"/>
      <c r="AT98" s="413"/>
      <c r="AU98" s="413"/>
      <c r="AV98" s="413"/>
      <c r="AW98" s="413"/>
      <c r="AX98" s="413"/>
      <c r="AY98" s="413"/>
      <c r="AZ98" s="413"/>
      <c r="BA98" s="807"/>
      <c r="BB98" s="413"/>
      <c r="BC98" s="413"/>
      <c r="BD98" s="413"/>
      <c r="BE98" s="413"/>
      <c r="BF98" s="413"/>
      <c r="BG98" s="413"/>
      <c r="BH98" s="413"/>
      <c r="BI98" s="413"/>
      <c r="BJ98" s="413"/>
      <c r="BK98" s="807"/>
      <c r="BL98" s="413"/>
      <c r="BM98" s="413"/>
      <c r="BN98" s="413"/>
      <c r="BO98" s="413"/>
      <c r="BP98" s="413"/>
      <c r="BQ98" s="413"/>
      <c r="BR98" s="413"/>
      <c r="BS98" s="413"/>
      <c r="BT98" s="413"/>
      <c r="BU98" s="807"/>
      <c r="BV98" s="413"/>
      <c r="BW98" s="413"/>
      <c r="BX98" s="413"/>
      <c r="BY98" s="413"/>
      <c r="BZ98" s="413"/>
      <c r="CA98" s="413"/>
      <c r="CB98" s="413"/>
      <c r="CC98" s="413"/>
      <c r="CD98" s="413"/>
      <c r="CE98" s="807"/>
      <c r="CF98" s="413"/>
      <c r="CG98" s="413"/>
      <c r="CH98" s="413"/>
      <c r="CI98" s="413"/>
      <c r="CJ98" s="413"/>
      <c r="CK98" s="413"/>
      <c r="CL98" s="413"/>
      <c r="CM98" s="413"/>
      <c r="CN98" s="413"/>
      <c r="CO98" s="807"/>
      <c r="CP98" s="413"/>
      <c r="CQ98" s="413"/>
      <c r="CR98" s="413"/>
      <c r="CS98" s="413"/>
      <c r="CT98" s="413"/>
      <c r="CU98" s="413"/>
      <c r="CV98" s="413"/>
      <c r="CW98" s="413"/>
      <c r="CX98" s="413"/>
      <c r="CY98" s="807"/>
      <c r="CZ98" s="413"/>
      <c r="DA98" s="413"/>
      <c r="DB98" s="413"/>
      <c r="DC98" s="413"/>
      <c r="DD98" s="413"/>
      <c r="DE98" s="413"/>
      <c r="DF98" s="413"/>
      <c r="DG98" s="413"/>
      <c r="DH98" s="413"/>
      <c r="DI98" s="807"/>
      <c r="DJ98" s="413"/>
      <c r="DK98" s="413"/>
      <c r="DL98" s="413"/>
      <c r="DM98" s="413"/>
      <c r="DN98" s="413"/>
      <c r="DO98" s="413"/>
      <c r="DP98" s="413"/>
      <c r="DQ98" s="413"/>
      <c r="DR98" s="413"/>
      <c r="DS98" s="807"/>
      <c r="DT98" s="413"/>
      <c r="DU98" s="413"/>
      <c r="DV98" s="413"/>
      <c r="DW98" s="413"/>
      <c r="DX98" s="413"/>
      <c r="DY98" s="413"/>
      <c r="DZ98" s="413"/>
      <c r="EA98" s="413"/>
      <c r="EB98" s="413"/>
      <c r="EC98" s="807"/>
      <c r="ED98" s="413"/>
      <c r="EE98" s="413"/>
      <c r="EF98" s="413"/>
      <c r="EG98" s="413"/>
      <c r="EH98" s="413"/>
      <c r="EI98" s="413"/>
      <c r="EJ98" s="413"/>
      <c r="EK98" s="413"/>
      <c r="EL98" s="413"/>
      <c r="EM98" s="413"/>
      <c r="EN98" s="807"/>
      <c r="EO98" s="809"/>
      <c r="EP98" s="809"/>
      <c r="EQ98" s="434"/>
      <c r="ER98" s="434"/>
      <c r="ES98" s="434"/>
      <c r="ET98" s="434"/>
      <c r="EU98" s="434"/>
      <c r="EV98" s="434"/>
      <c r="EW98" s="434"/>
      <c r="EX98" s="434"/>
      <c r="EY98" s="434"/>
      <c r="EZ98" s="434"/>
      <c r="FA98" s="434"/>
      <c r="FB98" s="434"/>
      <c r="FC98" s="399"/>
      <c r="FD98" s="399"/>
      <c r="FE98" s="399"/>
      <c r="FF98" s="399"/>
      <c r="FG98" s="415"/>
      <c r="FH98" s="415"/>
      <c r="FI98" s="415"/>
      <c r="FJ98" s="415"/>
      <c r="FK98" s="415"/>
      <c r="FL98" s="415"/>
      <c r="FM98" s="415"/>
    </row>
    <row r="99" spans="1:169">
      <c r="A99" s="410"/>
      <c r="B99" s="412"/>
      <c r="C99" s="412"/>
      <c r="D99" s="412"/>
      <c r="E99" s="412"/>
      <c r="F99" s="412"/>
      <c r="G99" s="412"/>
      <c r="H99" s="412"/>
      <c r="I99" s="412"/>
      <c r="J99" s="412"/>
      <c r="K99" s="412"/>
      <c r="L99" s="412"/>
      <c r="M99" s="413"/>
      <c r="N99" s="413"/>
      <c r="O99" s="413"/>
      <c r="P99" s="413"/>
      <c r="Q99" s="413"/>
      <c r="R99" s="413"/>
      <c r="S99" s="413"/>
      <c r="T99" s="413"/>
      <c r="U99" s="413"/>
      <c r="V99" s="413"/>
      <c r="W99" s="807"/>
      <c r="BB99" s="413"/>
      <c r="BC99" s="413"/>
      <c r="BD99" s="413"/>
      <c r="BE99" s="413"/>
      <c r="BF99" s="413"/>
      <c r="BG99" s="413"/>
      <c r="BH99" s="413"/>
      <c r="BI99" s="414"/>
      <c r="BJ99" s="413"/>
      <c r="BK99" s="413"/>
      <c r="BL99" s="413"/>
      <c r="BM99" s="413"/>
      <c r="BN99" s="413"/>
      <c r="BO99" s="413"/>
      <c r="BP99" s="413"/>
      <c r="BQ99" s="413"/>
      <c r="BR99" s="413"/>
      <c r="BS99" s="413"/>
      <c r="BT99" s="413"/>
      <c r="BU99" s="413"/>
      <c r="BV99" s="413"/>
      <c r="BW99" s="413"/>
      <c r="BX99" s="413"/>
      <c r="BY99" s="413"/>
      <c r="BZ99" s="413"/>
      <c r="CA99" s="413"/>
      <c r="CB99" s="413"/>
      <c r="CC99" s="413"/>
      <c r="CD99" s="413"/>
      <c r="CE99" s="413"/>
      <c r="CF99" s="413"/>
      <c r="CG99" s="413"/>
      <c r="CH99" s="413"/>
      <c r="CI99" s="413"/>
      <c r="CJ99" s="413"/>
      <c r="CK99" s="413"/>
      <c r="CL99" s="413"/>
      <c r="CM99" s="414"/>
      <c r="CN99" s="413"/>
      <c r="CO99" s="413"/>
      <c r="CP99" s="413"/>
      <c r="CQ99" s="413"/>
      <c r="CR99" s="413"/>
      <c r="CS99" s="413"/>
      <c r="CT99" s="413"/>
      <c r="CU99" s="413"/>
      <c r="CV99" s="413"/>
      <c r="CW99" s="414"/>
      <c r="CX99" s="413"/>
      <c r="CY99" s="413"/>
      <c r="CZ99" s="413"/>
      <c r="DA99" s="413"/>
      <c r="DB99" s="413"/>
      <c r="DC99" s="413"/>
      <c r="DD99" s="413"/>
      <c r="DE99" s="413"/>
      <c r="DF99" s="413"/>
      <c r="DG99" s="414"/>
      <c r="DH99" s="413"/>
      <c r="DI99" s="413"/>
      <c r="DJ99" s="413"/>
      <c r="DK99" s="413"/>
      <c r="DL99" s="413"/>
      <c r="DM99" s="413"/>
      <c r="DN99" s="413"/>
      <c r="DO99" s="413"/>
      <c r="DP99" s="413"/>
      <c r="DQ99" s="414"/>
      <c r="DR99" s="413"/>
      <c r="DS99" s="413"/>
      <c r="DT99" s="413"/>
      <c r="DU99" s="413"/>
      <c r="DV99" s="413"/>
      <c r="DW99" s="413"/>
      <c r="DX99" s="413"/>
      <c r="DY99" s="413"/>
      <c r="DZ99" s="413"/>
      <c r="EA99" s="413"/>
      <c r="EB99" s="413"/>
      <c r="EC99" s="413"/>
      <c r="ED99" s="413"/>
      <c r="EE99" s="413"/>
      <c r="EF99" s="413"/>
      <c r="EG99" s="413"/>
      <c r="EH99" s="413"/>
      <c r="EI99" s="413"/>
      <c r="EJ99" s="413"/>
      <c r="EK99" s="413"/>
      <c r="EL99" s="413"/>
      <c r="EM99" s="452"/>
      <c r="EN99" s="413"/>
      <c r="EO99" s="453"/>
      <c r="EP99" s="413"/>
      <c r="EQ99" s="434"/>
      <c r="ER99" s="434"/>
      <c r="ES99" s="434"/>
      <c r="ET99" s="434"/>
      <c r="EU99" s="434"/>
      <c r="EV99" s="434"/>
      <c r="EW99" s="434"/>
      <c r="EX99" s="434"/>
      <c r="EY99" s="434"/>
      <c r="EZ99" s="434"/>
      <c r="FA99" s="434"/>
      <c r="FB99" s="434"/>
      <c r="FC99" s="399"/>
      <c r="FD99" s="399"/>
      <c r="FE99" s="399"/>
      <c r="FF99" s="399"/>
      <c r="FG99" s="415"/>
      <c r="FH99" s="415"/>
      <c r="FI99" s="415"/>
      <c r="FJ99" s="415"/>
      <c r="FK99" s="415"/>
      <c r="FL99" s="415"/>
      <c r="FM99" s="415"/>
    </row>
    <row r="100" spans="1:169">
      <c r="A100" s="410" t="s">
        <v>40</v>
      </c>
      <c r="B100" s="412" t="s">
        <v>1355</v>
      </c>
      <c r="C100" s="412"/>
      <c r="D100" s="412"/>
      <c r="E100" s="412"/>
      <c r="F100" s="412"/>
      <c r="G100" s="412"/>
      <c r="H100" s="412"/>
      <c r="I100" s="412"/>
      <c r="J100" s="412"/>
      <c r="K100" s="412"/>
      <c r="L100" s="412"/>
      <c r="M100" s="413"/>
      <c r="N100" s="413"/>
      <c r="O100" s="413"/>
      <c r="P100" s="413"/>
      <c r="Q100" s="413"/>
      <c r="R100" s="413"/>
      <c r="S100" s="413"/>
      <c r="T100" s="413"/>
      <c r="U100" s="413"/>
      <c r="V100" s="413"/>
      <c r="W100" s="807"/>
      <c r="X100" s="413"/>
      <c r="Y100" s="413"/>
      <c r="Z100" s="413"/>
      <c r="AA100" s="413"/>
      <c r="AB100" s="413"/>
      <c r="AC100" s="413"/>
      <c r="AD100" s="413"/>
      <c r="AE100" s="413"/>
      <c r="AF100" s="413"/>
      <c r="AG100" s="413"/>
      <c r="AH100" s="413"/>
      <c r="AI100" s="413"/>
      <c r="AJ100" s="413"/>
      <c r="AK100" s="413"/>
      <c r="AL100" s="413"/>
      <c r="AM100" s="413"/>
      <c r="AN100" s="413"/>
      <c r="AO100" s="414"/>
      <c r="AP100" s="413"/>
      <c r="AQ100" s="413"/>
      <c r="AR100" s="413"/>
      <c r="AS100" s="413"/>
      <c r="AT100" s="413"/>
      <c r="AU100" s="413"/>
      <c r="AV100" s="413"/>
      <c r="AW100" s="413"/>
      <c r="AX100" s="413"/>
      <c r="AY100" s="414"/>
      <c r="AZ100" s="413"/>
      <c r="BA100" s="413"/>
      <c r="BB100" s="413"/>
      <c r="BC100" s="413"/>
      <c r="BD100" s="413"/>
      <c r="BE100" s="413"/>
      <c r="BF100" s="413"/>
      <c r="BG100" s="413"/>
      <c r="BH100" s="413"/>
      <c r="BI100" s="414"/>
      <c r="BJ100" s="413"/>
      <c r="BK100" s="413"/>
      <c r="BL100" s="413"/>
      <c r="BM100" s="413"/>
      <c r="BN100" s="413"/>
      <c r="BO100" s="413"/>
      <c r="BP100" s="413"/>
      <c r="BQ100" s="413"/>
      <c r="BR100" s="413"/>
      <c r="BS100" s="413"/>
      <c r="BT100" s="413"/>
      <c r="BU100" s="413"/>
      <c r="BV100" s="413"/>
      <c r="BW100" s="413"/>
      <c r="BX100" s="413"/>
      <c r="BY100" s="413"/>
      <c r="BZ100" s="413"/>
      <c r="CA100" s="413"/>
      <c r="CB100" s="413"/>
      <c r="CC100" s="413"/>
      <c r="CD100" s="413"/>
      <c r="CE100" s="413"/>
      <c r="CF100" s="413"/>
      <c r="CG100" s="413"/>
      <c r="CH100" s="413"/>
      <c r="CI100" s="413"/>
      <c r="CJ100" s="413"/>
      <c r="CK100" s="413"/>
      <c r="CL100" s="413"/>
      <c r="CM100" s="414"/>
      <c r="CN100" s="413"/>
      <c r="CO100" s="413"/>
      <c r="CP100" s="413"/>
      <c r="CQ100" s="413"/>
      <c r="CR100" s="413"/>
      <c r="CS100" s="413"/>
      <c r="CT100" s="413"/>
      <c r="CU100" s="413"/>
      <c r="CV100" s="413"/>
      <c r="CW100" s="414"/>
      <c r="CX100" s="413"/>
      <c r="CY100" s="413"/>
      <c r="CZ100" s="413"/>
      <c r="DA100" s="413"/>
      <c r="DB100" s="413"/>
      <c r="DC100" s="413"/>
      <c r="DD100" s="413"/>
      <c r="DE100" s="413"/>
      <c r="DF100" s="413"/>
      <c r="DG100" s="414"/>
      <c r="DH100" s="413"/>
      <c r="DI100" s="413"/>
      <c r="DJ100" s="413"/>
      <c r="DK100" s="413"/>
      <c r="DL100" s="413"/>
      <c r="DM100" s="413"/>
      <c r="DN100" s="413"/>
      <c r="DO100" s="413"/>
      <c r="DP100" s="413"/>
      <c r="DQ100" s="414"/>
      <c r="DR100" s="413"/>
      <c r="DS100" s="413"/>
      <c r="DT100" s="413"/>
      <c r="DU100" s="413"/>
      <c r="DV100" s="413"/>
      <c r="DW100" s="413"/>
      <c r="DX100" s="413"/>
      <c r="DY100" s="413"/>
      <c r="DZ100" s="413"/>
      <c r="EA100" s="413"/>
      <c r="EB100" s="413"/>
      <c r="EC100" s="413"/>
      <c r="ED100" s="413"/>
      <c r="EE100" s="413"/>
      <c r="EF100" s="413"/>
      <c r="EG100" s="413"/>
      <c r="EH100" s="413"/>
      <c r="EI100" s="413"/>
      <c r="EJ100" s="413"/>
      <c r="EK100" s="413"/>
      <c r="EL100" s="413"/>
      <c r="EM100" s="452"/>
      <c r="EN100" s="413"/>
      <c r="EO100" s="453"/>
      <c r="EP100" s="413"/>
      <c r="EQ100" s="434"/>
      <c r="ER100" s="434"/>
      <c r="ES100" s="434"/>
      <c r="ET100" s="434"/>
      <c r="EU100" s="434"/>
      <c r="EV100" s="434"/>
      <c r="EW100" s="434"/>
      <c r="EX100" s="434"/>
      <c r="EY100" s="434"/>
      <c r="EZ100" s="434"/>
      <c r="FA100" s="434"/>
      <c r="FB100" s="434"/>
      <c r="FC100" s="399"/>
      <c r="FD100" s="399"/>
      <c r="FE100" s="399"/>
      <c r="FF100" s="399"/>
      <c r="FG100" s="415"/>
      <c r="FH100" s="415"/>
      <c r="FI100" s="415"/>
      <c r="FJ100" s="415"/>
      <c r="FK100" s="415"/>
      <c r="FL100" s="415"/>
      <c r="FM100" s="415"/>
    </row>
    <row r="101" spans="1:169" ht="28.5">
      <c r="A101" s="410" t="s">
        <v>41</v>
      </c>
      <c r="B101" s="466" t="s">
        <v>1356</v>
      </c>
      <c r="C101" s="412"/>
      <c r="D101" s="412"/>
      <c r="E101" s="412"/>
      <c r="F101" s="412"/>
      <c r="G101" s="412"/>
      <c r="H101" s="412"/>
      <c r="I101" s="412"/>
      <c r="J101" s="412"/>
      <c r="K101" s="412"/>
      <c r="L101" s="412"/>
      <c r="M101" s="413"/>
      <c r="N101" s="413"/>
      <c r="O101" s="413"/>
      <c r="P101" s="413"/>
      <c r="Q101" s="413"/>
      <c r="R101" s="413"/>
      <c r="S101" s="413"/>
      <c r="T101" s="413"/>
      <c r="U101" s="413"/>
      <c r="V101" s="413"/>
      <c r="W101" s="413"/>
      <c r="X101" s="413"/>
      <c r="Y101" s="413"/>
      <c r="Z101" s="413"/>
      <c r="AA101" s="413"/>
      <c r="AB101" s="413"/>
      <c r="AC101" s="413"/>
      <c r="AD101" s="413"/>
      <c r="AE101" s="413"/>
      <c r="AF101" s="413"/>
      <c r="AG101" s="413"/>
      <c r="AH101" s="413"/>
      <c r="AI101" s="413"/>
      <c r="AJ101" s="413"/>
      <c r="AK101" s="413"/>
      <c r="AL101" s="413"/>
      <c r="AM101" s="413"/>
      <c r="AN101" s="413"/>
      <c r="AO101" s="414"/>
      <c r="AP101" s="413"/>
      <c r="AQ101" s="413"/>
      <c r="AR101" s="413"/>
      <c r="AS101" s="413"/>
      <c r="AT101" s="413"/>
      <c r="AU101" s="413"/>
      <c r="AV101" s="413"/>
      <c r="AW101" s="413"/>
      <c r="AX101" s="413"/>
      <c r="AY101" s="414"/>
      <c r="AZ101" s="413"/>
      <c r="BA101" s="413"/>
      <c r="BB101" s="413"/>
      <c r="BC101" s="413"/>
      <c r="BD101" s="413"/>
      <c r="BE101" s="413"/>
      <c r="BF101" s="413"/>
      <c r="BG101" s="413"/>
      <c r="BH101" s="413"/>
      <c r="BI101" s="414"/>
      <c r="BJ101" s="413"/>
      <c r="BK101" s="413"/>
      <c r="BL101" s="413"/>
      <c r="BM101" s="413"/>
      <c r="BN101" s="413"/>
      <c r="BO101" s="413"/>
      <c r="BP101" s="413"/>
      <c r="BQ101" s="413"/>
      <c r="BR101" s="413"/>
      <c r="BS101" s="413"/>
      <c r="BT101" s="413"/>
      <c r="BU101" s="413"/>
      <c r="BV101" s="413"/>
      <c r="BW101" s="413"/>
      <c r="BX101" s="413"/>
      <c r="BY101" s="413"/>
      <c r="BZ101" s="413"/>
      <c r="CA101" s="413"/>
      <c r="CB101" s="413"/>
      <c r="CC101" s="413"/>
      <c r="CD101" s="413"/>
      <c r="CE101" s="413"/>
      <c r="CF101" s="413"/>
      <c r="CG101" s="413"/>
      <c r="CH101" s="413"/>
      <c r="CI101" s="413"/>
      <c r="CJ101" s="413"/>
      <c r="CK101" s="413"/>
      <c r="CL101" s="413"/>
      <c r="CM101" s="414"/>
      <c r="CN101" s="413"/>
      <c r="CO101" s="413"/>
      <c r="CP101" s="413"/>
      <c r="CQ101" s="413"/>
      <c r="CR101" s="413"/>
      <c r="CS101" s="413"/>
      <c r="CT101" s="413"/>
      <c r="CU101" s="413"/>
      <c r="CV101" s="413"/>
      <c r="CW101" s="414"/>
      <c r="CX101" s="413"/>
      <c r="CY101" s="413"/>
      <c r="CZ101" s="413"/>
      <c r="DA101" s="413"/>
      <c r="DB101" s="413"/>
      <c r="DC101" s="413"/>
      <c r="DD101" s="413"/>
      <c r="DE101" s="413"/>
      <c r="DF101" s="413"/>
      <c r="DG101" s="414"/>
      <c r="DH101" s="413"/>
      <c r="DI101" s="413"/>
      <c r="DJ101" s="413"/>
      <c r="DK101" s="413"/>
      <c r="DL101" s="413"/>
      <c r="DM101" s="413"/>
      <c r="DN101" s="413"/>
      <c r="DO101" s="413"/>
      <c r="DP101" s="413"/>
      <c r="DQ101" s="414"/>
      <c r="DR101" s="413"/>
      <c r="DS101" s="413"/>
      <c r="DT101" s="413"/>
      <c r="DU101" s="413"/>
      <c r="DV101" s="413"/>
      <c r="DW101" s="413"/>
      <c r="DX101" s="413"/>
      <c r="DY101" s="413"/>
      <c r="DZ101" s="413"/>
      <c r="EA101" s="413"/>
      <c r="EB101" s="413"/>
      <c r="EC101" s="413"/>
      <c r="ED101" s="413"/>
      <c r="EE101" s="413"/>
      <c r="EF101" s="413"/>
      <c r="EG101" s="413"/>
      <c r="EH101" s="413"/>
      <c r="EI101" s="413"/>
      <c r="EJ101" s="413"/>
      <c r="EK101" s="413"/>
      <c r="EL101" s="413"/>
      <c r="EM101" s="452"/>
      <c r="EN101" s="413"/>
      <c r="EO101" s="453"/>
      <c r="EP101" s="413"/>
      <c r="EQ101" s="434"/>
      <c r="ER101" s="434"/>
      <c r="ES101" s="434"/>
      <c r="ET101" s="434"/>
      <c r="EU101" s="434"/>
      <c r="EV101" s="434"/>
      <c r="EW101" s="434"/>
      <c r="EX101" s="434"/>
      <c r="EY101" s="434"/>
      <c r="EZ101" s="434"/>
      <c r="FA101" s="434"/>
      <c r="FB101" s="434"/>
      <c r="FC101" s="399"/>
      <c r="FD101" s="399"/>
      <c r="FE101" s="399"/>
      <c r="FF101" s="399"/>
      <c r="FG101" s="415"/>
      <c r="FH101" s="415"/>
      <c r="FI101" s="415"/>
      <c r="FJ101" s="415"/>
      <c r="FK101" s="415"/>
      <c r="FL101" s="415"/>
      <c r="FM101" s="415"/>
    </row>
    <row r="102" spans="1:169">
      <c r="A102" s="410" t="s">
        <v>42</v>
      </c>
      <c r="B102" s="418" t="s">
        <v>1240</v>
      </c>
      <c r="C102" s="412"/>
      <c r="D102" s="412"/>
      <c r="E102" s="412"/>
      <c r="F102" s="412"/>
      <c r="G102" s="412"/>
      <c r="H102" s="412"/>
      <c r="I102" s="412"/>
      <c r="J102" s="412"/>
      <c r="K102" s="412"/>
      <c r="L102" s="412"/>
      <c r="M102" s="413"/>
      <c r="N102" s="413"/>
      <c r="O102" s="413"/>
      <c r="P102" s="413"/>
      <c r="Q102" s="413"/>
      <c r="R102" s="413"/>
      <c r="S102" s="413"/>
      <c r="T102" s="413"/>
      <c r="U102" s="413"/>
      <c r="V102" s="413"/>
      <c r="W102" s="413"/>
      <c r="X102" s="413"/>
      <c r="Y102" s="413"/>
      <c r="Z102" s="413"/>
      <c r="AA102" s="413"/>
      <c r="AB102" s="413"/>
      <c r="AC102" s="413"/>
      <c r="AD102" s="413"/>
      <c r="AE102" s="413"/>
      <c r="AF102" s="413"/>
      <c r="AG102" s="413"/>
      <c r="AH102" s="413"/>
      <c r="AI102" s="413"/>
      <c r="AJ102" s="413"/>
      <c r="AK102" s="413"/>
      <c r="AL102" s="413"/>
      <c r="AM102" s="413"/>
      <c r="AN102" s="413"/>
      <c r="AO102" s="414"/>
      <c r="AP102" s="413"/>
      <c r="AQ102" s="413"/>
      <c r="AR102" s="413"/>
      <c r="AS102" s="413"/>
      <c r="AT102" s="413"/>
      <c r="AU102" s="413"/>
      <c r="AV102" s="413"/>
      <c r="AW102" s="413"/>
      <c r="AX102" s="413"/>
      <c r="AY102" s="414"/>
      <c r="AZ102" s="413"/>
      <c r="BA102" s="413"/>
      <c r="BB102" s="413"/>
      <c r="BC102" s="413"/>
      <c r="BD102" s="413"/>
      <c r="BE102" s="413"/>
      <c r="BF102" s="413"/>
      <c r="BG102" s="413"/>
      <c r="BH102" s="413"/>
      <c r="BI102" s="414"/>
      <c r="BJ102" s="413"/>
      <c r="BK102" s="413"/>
      <c r="BL102" s="413"/>
      <c r="BM102" s="413"/>
      <c r="BN102" s="413"/>
      <c r="BO102" s="413"/>
      <c r="BP102" s="413"/>
      <c r="BQ102" s="413"/>
      <c r="BR102" s="413"/>
      <c r="BS102" s="413"/>
      <c r="BT102" s="413"/>
      <c r="BU102" s="413"/>
      <c r="BV102" s="413"/>
      <c r="BW102" s="413"/>
      <c r="BX102" s="413"/>
      <c r="BY102" s="413"/>
      <c r="BZ102" s="413"/>
      <c r="CA102" s="413"/>
      <c r="CB102" s="413"/>
      <c r="CC102" s="413"/>
      <c r="CD102" s="413"/>
      <c r="CE102" s="413"/>
      <c r="CF102" s="413"/>
      <c r="CG102" s="413"/>
      <c r="CH102" s="413"/>
      <c r="CI102" s="413"/>
      <c r="CJ102" s="413"/>
      <c r="CK102" s="413"/>
      <c r="CL102" s="413"/>
      <c r="CM102" s="414"/>
      <c r="CN102" s="413"/>
      <c r="CO102" s="413"/>
      <c r="CP102" s="413"/>
      <c r="CQ102" s="413"/>
      <c r="CR102" s="413"/>
      <c r="CS102" s="413"/>
      <c r="CT102" s="413"/>
      <c r="CU102" s="413"/>
      <c r="CV102" s="413"/>
      <c r="CW102" s="414"/>
      <c r="CX102" s="413"/>
      <c r="CY102" s="413"/>
      <c r="CZ102" s="413"/>
      <c r="DA102" s="413"/>
      <c r="DB102" s="413"/>
      <c r="DC102" s="413"/>
      <c r="DD102" s="413"/>
      <c r="DE102" s="413"/>
      <c r="DF102" s="413"/>
      <c r="DG102" s="414"/>
      <c r="DH102" s="413"/>
      <c r="DI102" s="413"/>
      <c r="DJ102" s="413"/>
      <c r="DK102" s="413"/>
      <c r="DL102" s="413"/>
      <c r="DM102" s="413"/>
      <c r="DN102" s="413"/>
      <c r="DO102" s="413"/>
      <c r="DP102" s="413"/>
      <c r="DQ102" s="414"/>
      <c r="DR102" s="413"/>
      <c r="DS102" s="413"/>
      <c r="DT102" s="413"/>
      <c r="DU102" s="413"/>
      <c r="DV102" s="413"/>
      <c r="DW102" s="413"/>
      <c r="DX102" s="413"/>
      <c r="DY102" s="413"/>
      <c r="DZ102" s="413"/>
      <c r="EA102" s="413"/>
      <c r="EB102" s="413"/>
      <c r="EC102" s="413"/>
      <c r="ED102" s="413"/>
      <c r="EE102" s="413"/>
      <c r="EF102" s="413"/>
      <c r="EG102" s="413"/>
      <c r="EH102" s="413"/>
      <c r="EI102" s="413"/>
      <c r="EJ102" s="413"/>
      <c r="EK102" s="413"/>
      <c r="EL102" s="413"/>
      <c r="EM102" s="452"/>
      <c r="EN102" s="413"/>
      <c r="EO102" s="453"/>
      <c r="EP102" s="413"/>
      <c r="EQ102" s="434"/>
      <c r="ER102" s="434"/>
      <c r="ES102" s="434"/>
      <c r="ET102" s="434"/>
      <c r="EU102" s="434"/>
      <c r="EV102" s="434"/>
      <c r="EW102" s="434"/>
      <c r="EX102" s="434"/>
      <c r="EY102" s="434"/>
      <c r="EZ102" s="434"/>
      <c r="FA102" s="434"/>
      <c r="FB102" s="434"/>
      <c r="FC102" s="399"/>
      <c r="FD102" s="399"/>
      <c r="FE102" s="399"/>
      <c r="FF102" s="399"/>
      <c r="FG102" s="415"/>
      <c r="FH102" s="415"/>
      <c r="FI102" s="415"/>
      <c r="FJ102" s="415"/>
      <c r="FK102" s="415"/>
      <c r="FL102" s="415"/>
      <c r="FM102" s="415"/>
    </row>
    <row r="103" spans="1:169">
      <c r="A103" s="410" t="s">
        <v>90</v>
      </c>
      <c r="B103" s="418" t="s">
        <v>1241</v>
      </c>
      <c r="C103" s="412"/>
      <c r="D103" s="412"/>
      <c r="E103" s="412"/>
      <c r="F103" s="412"/>
      <c r="G103" s="412"/>
      <c r="H103" s="412"/>
      <c r="I103" s="412"/>
      <c r="J103" s="412"/>
      <c r="K103" s="412"/>
      <c r="L103" s="412"/>
      <c r="M103" s="413"/>
      <c r="N103" s="413"/>
      <c r="O103" s="413"/>
      <c r="P103" s="413"/>
      <c r="Q103" s="413"/>
      <c r="R103" s="413"/>
      <c r="S103" s="413"/>
      <c r="T103" s="413"/>
      <c r="U103" s="413"/>
      <c r="V103" s="413"/>
      <c r="W103" s="413"/>
      <c r="X103" s="413"/>
      <c r="Y103" s="413"/>
      <c r="Z103" s="413"/>
      <c r="AA103" s="413"/>
      <c r="AB103" s="413"/>
      <c r="AC103" s="413"/>
      <c r="AD103" s="413"/>
      <c r="AE103" s="413"/>
      <c r="AF103" s="413"/>
      <c r="AG103" s="413"/>
      <c r="AH103" s="413"/>
      <c r="AI103" s="413"/>
      <c r="AJ103" s="413"/>
      <c r="AK103" s="413"/>
      <c r="AL103" s="413"/>
      <c r="AM103" s="413"/>
      <c r="AN103" s="413"/>
      <c r="AO103" s="414"/>
      <c r="AP103" s="413"/>
      <c r="AQ103" s="413"/>
      <c r="AR103" s="413"/>
      <c r="AS103" s="413"/>
      <c r="AT103" s="413"/>
      <c r="AU103" s="413"/>
      <c r="AV103" s="413"/>
      <c r="AW103" s="413"/>
      <c r="AX103" s="413"/>
      <c r="AY103" s="414"/>
      <c r="AZ103" s="413"/>
      <c r="BA103" s="413"/>
      <c r="BB103" s="413"/>
      <c r="BC103" s="413"/>
      <c r="BD103" s="413"/>
      <c r="BE103" s="413"/>
      <c r="BF103" s="413"/>
      <c r="BG103" s="413"/>
      <c r="BH103" s="413"/>
      <c r="BI103" s="414"/>
      <c r="BJ103" s="413"/>
      <c r="BK103" s="413"/>
      <c r="BL103" s="413"/>
      <c r="BM103" s="413"/>
      <c r="BN103" s="413"/>
      <c r="BO103" s="413"/>
      <c r="BP103" s="413"/>
      <c r="BQ103" s="413"/>
      <c r="BR103" s="413"/>
      <c r="BS103" s="413"/>
      <c r="BT103" s="413"/>
      <c r="BU103" s="413"/>
      <c r="BV103" s="413"/>
      <c r="BW103" s="413"/>
      <c r="BX103" s="413"/>
      <c r="BY103" s="413"/>
      <c r="BZ103" s="413"/>
      <c r="CA103" s="413"/>
      <c r="CB103" s="413"/>
      <c r="CC103" s="413"/>
      <c r="CD103" s="413"/>
      <c r="CE103" s="413"/>
      <c r="CF103" s="413"/>
      <c r="CG103" s="413"/>
      <c r="CH103" s="413"/>
      <c r="CI103" s="413"/>
      <c r="CJ103" s="413"/>
      <c r="CK103" s="413"/>
      <c r="CL103" s="413"/>
      <c r="CM103" s="414"/>
      <c r="CN103" s="413"/>
      <c r="CO103" s="413"/>
      <c r="CP103" s="413"/>
      <c r="CQ103" s="413"/>
      <c r="CR103" s="413"/>
      <c r="CS103" s="413"/>
      <c r="CT103" s="413"/>
      <c r="CU103" s="413"/>
      <c r="CV103" s="413"/>
      <c r="CW103" s="414"/>
      <c r="CX103" s="413"/>
      <c r="CY103" s="413"/>
      <c r="CZ103" s="413"/>
      <c r="DA103" s="413"/>
      <c r="DB103" s="413"/>
      <c r="DC103" s="413"/>
      <c r="DD103" s="413"/>
      <c r="DE103" s="413"/>
      <c r="DF103" s="413"/>
      <c r="DG103" s="414"/>
      <c r="DH103" s="413"/>
      <c r="DI103" s="413"/>
      <c r="DJ103" s="413"/>
      <c r="DK103" s="413"/>
      <c r="DL103" s="413"/>
      <c r="DM103" s="413"/>
      <c r="DN103" s="413"/>
      <c r="DO103" s="413"/>
      <c r="DP103" s="413"/>
      <c r="DQ103" s="414"/>
      <c r="DR103" s="413"/>
      <c r="DS103" s="413"/>
      <c r="DT103" s="413"/>
      <c r="DU103" s="413"/>
      <c r="DV103" s="413"/>
      <c r="DW103" s="413"/>
      <c r="DX103" s="413"/>
      <c r="DY103" s="413"/>
      <c r="DZ103" s="413"/>
      <c r="EA103" s="413"/>
      <c r="EB103" s="413"/>
      <c r="EC103" s="413"/>
      <c r="ED103" s="413"/>
      <c r="EE103" s="413"/>
      <c r="EF103" s="413"/>
      <c r="EG103" s="413"/>
      <c r="EH103" s="413"/>
      <c r="EI103" s="413"/>
      <c r="EJ103" s="413"/>
      <c r="EK103" s="413"/>
      <c r="EL103" s="413"/>
      <c r="EM103" s="452"/>
      <c r="EN103" s="413"/>
      <c r="EO103" s="453"/>
      <c r="EP103" s="413"/>
      <c r="EQ103" s="434"/>
      <c r="ER103" s="434"/>
      <c r="ES103" s="434"/>
      <c r="ET103" s="434"/>
      <c r="EU103" s="434"/>
      <c r="EV103" s="434"/>
      <c r="EW103" s="434"/>
      <c r="EX103" s="434"/>
      <c r="EY103" s="434"/>
      <c r="EZ103" s="434"/>
      <c r="FA103" s="434"/>
      <c r="FB103" s="434"/>
      <c r="FC103" s="399"/>
      <c r="FD103" s="399"/>
      <c r="FE103" s="399"/>
      <c r="FF103" s="399"/>
      <c r="FG103" s="415"/>
      <c r="FH103" s="415"/>
      <c r="FI103" s="415"/>
      <c r="FJ103" s="415"/>
      <c r="FK103" s="415"/>
      <c r="FL103" s="415"/>
      <c r="FM103" s="415"/>
    </row>
    <row r="104" spans="1:169">
      <c r="A104" s="410" t="s">
        <v>91</v>
      </c>
      <c r="B104" s="418" t="s">
        <v>1352</v>
      </c>
      <c r="C104" s="412"/>
      <c r="D104" s="412"/>
      <c r="E104" s="412"/>
      <c r="F104" s="412"/>
      <c r="G104" s="412"/>
      <c r="H104" s="412"/>
      <c r="I104" s="412"/>
      <c r="J104" s="412"/>
      <c r="K104" s="412"/>
      <c r="L104" s="412"/>
      <c r="M104" s="413"/>
      <c r="N104" s="413"/>
      <c r="O104" s="413"/>
      <c r="P104" s="413"/>
      <c r="Q104" s="413"/>
      <c r="R104" s="413"/>
      <c r="S104" s="413"/>
      <c r="T104" s="413"/>
      <c r="U104" s="413"/>
      <c r="V104" s="413"/>
      <c r="W104" s="413"/>
      <c r="X104" s="413"/>
      <c r="Y104" s="413"/>
      <c r="Z104" s="413"/>
      <c r="AA104" s="413"/>
      <c r="AB104" s="413"/>
      <c r="AC104" s="413"/>
      <c r="AD104" s="413"/>
      <c r="AE104" s="413"/>
      <c r="AF104" s="413"/>
      <c r="AG104" s="413"/>
      <c r="AH104" s="413"/>
      <c r="AI104" s="413"/>
      <c r="AJ104" s="413"/>
      <c r="AK104" s="413"/>
      <c r="AL104" s="413"/>
      <c r="AM104" s="413"/>
      <c r="AN104" s="413"/>
      <c r="AO104" s="414"/>
      <c r="AP104" s="413"/>
      <c r="AQ104" s="413"/>
      <c r="AR104" s="413"/>
      <c r="AS104" s="413"/>
      <c r="AT104" s="413"/>
      <c r="AU104" s="413"/>
      <c r="AV104" s="413"/>
      <c r="AW104" s="413"/>
      <c r="AX104" s="413"/>
      <c r="AY104" s="414"/>
      <c r="AZ104" s="413"/>
      <c r="BA104" s="413"/>
      <c r="BB104" s="413"/>
      <c r="BC104" s="413"/>
      <c r="BD104" s="413"/>
      <c r="BE104" s="413"/>
      <c r="BF104" s="413"/>
      <c r="BG104" s="413"/>
      <c r="BH104" s="413"/>
      <c r="BI104" s="414"/>
      <c r="BJ104" s="413"/>
      <c r="BK104" s="413"/>
      <c r="BL104" s="413"/>
      <c r="BM104" s="413"/>
      <c r="BN104" s="413"/>
      <c r="BO104" s="413"/>
      <c r="BP104" s="413"/>
      <c r="BQ104" s="413"/>
      <c r="BR104" s="413"/>
      <c r="BS104" s="413"/>
      <c r="BT104" s="413"/>
      <c r="BU104" s="413"/>
      <c r="BV104" s="413"/>
      <c r="BW104" s="413"/>
      <c r="BX104" s="413"/>
      <c r="BY104" s="413"/>
      <c r="BZ104" s="413"/>
      <c r="CA104" s="413"/>
      <c r="CB104" s="413"/>
      <c r="CC104" s="413"/>
      <c r="CD104" s="413"/>
      <c r="CE104" s="413"/>
      <c r="CF104" s="413"/>
      <c r="CG104" s="413"/>
      <c r="CH104" s="413"/>
      <c r="CI104" s="413"/>
      <c r="CJ104" s="413"/>
      <c r="CK104" s="413"/>
      <c r="CL104" s="413"/>
      <c r="CM104" s="414"/>
      <c r="CN104" s="413"/>
      <c r="CO104" s="413"/>
      <c r="CP104" s="413"/>
      <c r="CQ104" s="413"/>
      <c r="CR104" s="413"/>
      <c r="CS104" s="413"/>
      <c r="CT104" s="413"/>
      <c r="CU104" s="413"/>
      <c r="CV104" s="413"/>
      <c r="CW104" s="414"/>
      <c r="CX104" s="413"/>
      <c r="CY104" s="413"/>
      <c r="CZ104" s="413"/>
      <c r="DA104" s="413"/>
      <c r="DB104" s="413"/>
      <c r="DC104" s="413"/>
      <c r="DD104" s="413"/>
      <c r="DE104" s="413"/>
      <c r="DF104" s="413"/>
      <c r="DG104" s="414"/>
      <c r="DH104" s="413"/>
      <c r="DI104" s="413"/>
      <c r="DJ104" s="413"/>
      <c r="DK104" s="413"/>
      <c r="DL104" s="413"/>
      <c r="DM104" s="413"/>
      <c r="DN104" s="413"/>
      <c r="DO104" s="413"/>
      <c r="DP104" s="413"/>
      <c r="DQ104" s="414"/>
      <c r="DR104" s="413"/>
      <c r="DS104" s="413"/>
      <c r="DT104" s="413"/>
      <c r="DU104" s="413"/>
      <c r="DV104" s="413"/>
      <c r="DW104" s="413"/>
      <c r="DX104" s="413"/>
      <c r="DY104" s="413"/>
      <c r="DZ104" s="413"/>
      <c r="EA104" s="413"/>
      <c r="EB104" s="413"/>
      <c r="EC104" s="413"/>
      <c r="ED104" s="413"/>
      <c r="EE104" s="413"/>
      <c r="EF104" s="413"/>
      <c r="EG104" s="413"/>
      <c r="EH104" s="413"/>
      <c r="EI104" s="413"/>
      <c r="EJ104" s="413"/>
      <c r="EK104" s="413"/>
      <c r="EL104" s="413"/>
      <c r="EM104" s="452"/>
      <c r="EN104" s="413"/>
      <c r="EO104" s="453"/>
      <c r="EP104" s="413"/>
      <c r="EQ104" s="434"/>
      <c r="ER104" s="434"/>
      <c r="ES104" s="434"/>
      <c r="ET104" s="434"/>
      <c r="EU104" s="434"/>
      <c r="EV104" s="434"/>
      <c r="EW104" s="434"/>
      <c r="EX104" s="434"/>
      <c r="EY104" s="434"/>
      <c r="EZ104" s="434"/>
      <c r="FA104" s="434"/>
      <c r="FB104" s="434"/>
      <c r="FC104" s="399"/>
      <c r="FD104" s="399"/>
      <c r="FE104" s="399"/>
      <c r="FF104" s="399"/>
      <c r="FG104" s="415"/>
      <c r="FH104" s="415"/>
      <c r="FI104" s="415"/>
      <c r="FJ104" s="415"/>
      <c r="FK104" s="415"/>
      <c r="FL104" s="415"/>
      <c r="FM104" s="415"/>
    </row>
    <row r="105" spans="1:169">
      <c r="A105" s="410" t="s">
        <v>92</v>
      </c>
      <c r="B105" s="418" t="s">
        <v>1201</v>
      </c>
      <c r="C105" s="412"/>
      <c r="D105" s="412"/>
      <c r="E105" s="412"/>
      <c r="F105" s="412"/>
      <c r="G105" s="412"/>
      <c r="H105" s="412"/>
      <c r="I105" s="412"/>
      <c r="J105" s="412"/>
      <c r="K105" s="412"/>
      <c r="L105" s="412"/>
      <c r="M105" s="413"/>
      <c r="N105" s="413"/>
      <c r="O105" s="413"/>
      <c r="P105" s="413"/>
      <c r="Q105" s="413"/>
      <c r="R105" s="413"/>
      <c r="S105" s="413"/>
      <c r="T105" s="413"/>
      <c r="U105" s="413"/>
      <c r="V105" s="413"/>
      <c r="W105" s="413"/>
      <c r="X105" s="413"/>
      <c r="Y105" s="413"/>
      <c r="Z105" s="413"/>
      <c r="AA105" s="413"/>
      <c r="AB105" s="413"/>
      <c r="AC105" s="413"/>
      <c r="AD105" s="413"/>
      <c r="AE105" s="413"/>
      <c r="AF105" s="413"/>
      <c r="AG105" s="413"/>
      <c r="AH105" s="413"/>
      <c r="AI105" s="413"/>
      <c r="AJ105" s="413"/>
      <c r="AK105" s="413"/>
      <c r="AL105" s="413"/>
      <c r="AM105" s="413"/>
      <c r="AN105" s="413"/>
      <c r="AO105" s="414"/>
      <c r="AP105" s="413"/>
      <c r="AQ105" s="413"/>
      <c r="AR105" s="413"/>
      <c r="AS105" s="413"/>
      <c r="AT105" s="413"/>
      <c r="AU105" s="413"/>
      <c r="AV105" s="413"/>
      <c r="AW105" s="413"/>
      <c r="AX105" s="413"/>
      <c r="AY105" s="414"/>
      <c r="AZ105" s="413"/>
      <c r="BA105" s="413"/>
      <c r="BB105" s="413"/>
      <c r="BC105" s="413"/>
      <c r="BD105" s="413"/>
      <c r="BE105" s="413"/>
      <c r="BF105" s="413"/>
      <c r="BG105" s="413"/>
      <c r="BH105" s="413"/>
      <c r="BI105" s="414"/>
      <c r="BJ105" s="413"/>
      <c r="BK105" s="413"/>
      <c r="BL105" s="413"/>
      <c r="BM105" s="413"/>
      <c r="BN105" s="413"/>
      <c r="BO105" s="413"/>
      <c r="BP105" s="413"/>
      <c r="BQ105" s="413"/>
      <c r="BR105" s="413"/>
      <c r="BS105" s="413"/>
      <c r="BT105" s="413"/>
      <c r="BU105" s="413"/>
      <c r="BV105" s="413"/>
      <c r="BW105" s="413"/>
      <c r="BX105" s="413"/>
      <c r="BY105" s="413"/>
      <c r="BZ105" s="413"/>
      <c r="CA105" s="413"/>
      <c r="CB105" s="413"/>
      <c r="CC105" s="413"/>
      <c r="CD105" s="413"/>
      <c r="CE105" s="413"/>
      <c r="CF105" s="413"/>
      <c r="CG105" s="413"/>
      <c r="CH105" s="413"/>
      <c r="CI105" s="413"/>
      <c r="CJ105" s="413"/>
      <c r="CK105" s="413"/>
      <c r="CL105" s="413"/>
      <c r="CM105" s="414"/>
      <c r="CN105" s="413"/>
      <c r="CO105" s="413"/>
      <c r="CP105" s="413"/>
      <c r="CQ105" s="413"/>
      <c r="CR105" s="413"/>
      <c r="CS105" s="413"/>
      <c r="CT105" s="413"/>
      <c r="CU105" s="413"/>
      <c r="CV105" s="413"/>
      <c r="CW105" s="414"/>
      <c r="CX105" s="413"/>
      <c r="CY105" s="413"/>
      <c r="CZ105" s="413"/>
      <c r="DA105" s="413"/>
      <c r="DB105" s="413"/>
      <c r="DC105" s="413"/>
      <c r="DD105" s="413"/>
      <c r="DE105" s="413"/>
      <c r="DF105" s="413"/>
      <c r="DG105" s="414"/>
      <c r="DH105" s="413"/>
      <c r="DI105" s="413"/>
      <c r="DJ105" s="413"/>
      <c r="DK105" s="413"/>
      <c r="DL105" s="413"/>
      <c r="DM105" s="413"/>
      <c r="DN105" s="413"/>
      <c r="DO105" s="413"/>
      <c r="DP105" s="413"/>
      <c r="DQ105" s="414"/>
      <c r="DR105" s="413"/>
      <c r="DS105" s="413"/>
      <c r="DT105" s="413"/>
      <c r="DU105" s="413"/>
      <c r="DV105" s="413"/>
      <c r="DW105" s="413"/>
      <c r="DX105" s="413"/>
      <c r="DY105" s="413"/>
      <c r="DZ105" s="413"/>
      <c r="EA105" s="413"/>
      <c r="EB105" s="413"/>
      <c r="EC105" s="413"/>
      <c r="ED105" s="413"/>
      <c r="EE105" s="413"/>
      <c r="EF105" s="413"/>
      <c r="EG105" s="413"/>
      <c r="EH105" s="413"/>
      <c r="EI105" s="413"/>
      <c r="EJ105" s="413"/>
      <c r="EK105" s="413"/>
      <c r="EL105" s="413"/>
      <c r="EM105" s="452"/>
      <c r="EN105" s="413"/>
      <c r="EO105" s="453"/>
      <c r="EP105" s="413"/>
      <c r="EQ105" s="434"/>
      <c r="ER105" s="434"/>
      <c r="ES105" s="434"/>
      <c r="ET105" s="434"/>
      <c r="EU105" s="434"/>
      <c r="EV105" s="434"/>
      <c r="EW105" s="434"/>
      <c r="EX105" s="434"/>
      <c r="EY105" s="434"/>
      <c r="EZ105" s="434"/>
      <c r="FA105" s="434"/>
      <c r="FB105" s="434"/>
      <c r="FC105" s="399"/>
      <c r="FD105" s="399"/>
      <c r="FE105" s="399"/>
      <c r="FF105" s="399"/>
      <c r="FG105" s="415"/>
      <c r="FH105" s="415"/>
      <c r="FI105" s="415"/>
      <c r="FJ105" s="415"/>
      <c r="FK105" s="415"/>
      <c r="FL105" s="415"/>
      <c r="FM105" s="415"/>
    </row>
    <row r="106" spans="1:169">
      <c r="A106" s="410" t="s">
        <v>155</v>
      </c>
      <c r="B106" s="418" t="s">
        <v>1242</v>
      </c>
      <c r="C106" s="412"/>
      <c r="D106" s="412"/>
      <c r="E106" s="412"/>
      <c r="F106" s="412"/>
      <c r="G106" s="412"/>
      <c r="H106" s="412"/>
      <c r="I106" s="412"/>
      <c r="J106" s="412"/>
      <c r="K106" s="412"/>
      <c r="L106" s="412"/>
      <c r="M106" s="413"/>
      <c r="N106" s="413"/>
      <c r="O106" s="413"/>
      <c r="P106" s="413"/>
      <c r="Q106" s="413"/>
      <c r="R106" s="413"/>
      <c r="S106" s="413"/>
      <c r="T106" s="413"/>
      <c r="U106" s="413"/>
      <c r="V106" s="413"/>
      <c r="W106" s="413"/>
      <c r="X106" s="413"/>
      <c r="Y106" s="413"/>
      <c r="Z106" s="413"/>
      <c r="AA106" s="413"/>
      <c r="AB106" s="413"/>
      <c r="AC106" s="413"/>
      <c r="AD106" s="413"/>
      <c r="AE106" s="413"/>
      <c r="AF106" s="413"/>
      <c r="AG106" s="413"/>
      <c r="AH106" s="413"/>
      <c r="AI106" s="413"/>
      <c r="AJ106" s="413"/>
      <c r="AK106" s="413"/>
      <c r="AL106" s="413"/>
      <c r="AM106" s="413"/>
      <c r="AN106" s="413"/>
      <c r="AO106" s="414"/>
      <c r="AP106" s="413"/>
      <c r="AQ106" s="413"/>
      <c r="AR106" s="413"/>
      <c r="AS106" s="413"/>
      <c r="AT106" s="413"/>
      <c r="AU106" s="413"/>
      <c r="AV106" s="413"/>
      <c r="AW106" s="413"/>
      <c r="AX106" s="413"/>
      <c r="AY106" s="414"/>
      <c r="AZ106" s="413"/>
      <c r="BA106" s="413"/>
      <c r="BB106" s="413"/>
      <c r="BC106" s="413"/>
      <c r="BD106" s="413"/>
      <c r="BE106" s="413"/>
      <c r="BF106" s="413"/>
      <c r="BG106" s="413"/>
      <c r="BH106" s="413"/>
      <c r="BI106" s="414"/>
      <c r="BJ106" s="413"/>
      <c r="BK106" s="413"/>
      <c r="BL106" s="413"/>
      <c r="BM106" s="413"/>
      <c r="BN106" s="413"/>
      <c r="BO106" s="413"/>
      <c r="BP106" s="413"/>
      <c r="BQ106" s="413"/>
      <c r="BR106" s="413"/>
      <c r="BS106" s="413"/>
      <c r="BT106" s="413"/>
      <c r="BU106" s="413"/>
      <c r="BV106" s="413"/>
      <c r="BW106" s="413"/>
      <c r="BX106" s="413"/>
      <c r="BY106" s="413"/>
      <c r="BZ106" s="413"/>
      <c r="CA106" s="413"/>
      <c r="CB106" s="413"/>
      <c r="CC106" s="413"/>
      <c r="CD106" s="413"/>
      <c r="CE106" s="413"/>
      <c r="CF106" s="413"/>
      <c r="CG106" s="413"/>
      <c r="CH106" s="413"/>
      <c r="CI106" s="413"/>
      <c r="CJ106" s="413"/>
      <c r="CK106" s="413"/>
      <c r="CL106" s="413"/>
      <c r="CM106" s="414"/>
      <c r="CN106" s="413"/>
      <c r="CO106" s="413"/>
      <c r="CP106" s="413"/>
      <c r="CQ106" s="413"/>
      <c r="CR106" s="413"/>
      <c r="CS106" s="413"/>
      <c r="CT106" s="413"/>
      <c r="CU106" s="413"/>
      <c r="CV106" s="413"/>
      <c r="CW106" s="414"/>
      <c r="CX106" s="413"/>
      <c r="CY106" s="413"/>
      <c r="CZ106" s="413"/>
      <c r="DA106" s="413"/>
      <c r="DB106" s="413"/>
      <c r="DC106" s="413"/>
      <c r="DD106" s="413"/>
      <c r="DE106" s="413"/>
      <c r="DF106" s="413"/>
      <c r="DG106" s="414"/>
      <c r="DH106" s="413"/>
      <c r="DI106" s="413"/>
      <c r="DJ106" s="413"/>
      <c r="DK106" s="413"/>
      <c r="DL106" s="413"/>
      <c r="DM106" s="413"/>
      <c r="DN106" s="413"/>
      <c r="DO106" s="413"/>
      <c r="DP106" s="413"/>
      <c r="DQ106" s="414"/>
      <c r="DR106" s="413"/>
      <c r="DS106" s="413"/>
      <c r="DT106" s="413"/>
      <c r="DU106" s="413"/>
      <c r="DV106" s="413"/>
      <c r="DW106" s="413"/>
      <c r="DX106" s="413"/>
      <c r="DY106" s="413"/>
      <c r="DZ106" s="413"/>
      <c r="EA106" s="413"/>
      <c r="EB106" s="413"/>
      <c r="EC106" s="413"/>
      <c r="ED106" s="413"/>
      <c r="EE106" s="413"/>
      <c r="EF106" s="413"/>
      <c r="EG106" s="413"/>
      <c r="EH106" s="413"/>
      <c r="EI106" s="413"/>
      <c r="EJ106" s="413"/>
      <c r="EK106" s="413"/>
      <c r="EL106" s="413"/>
      <c r="EM106" s="452"/>
      <c r="EN106" s="413"/>
      <c r="EO106" s="453"/>
      <c r="EP106" s="413"/>
      <c r="EQ106" s="434"/>
      <c r="ER106" s="434"/>
      <c r="ES106" s="434"/>
      <c r="ET106" s="434"/>
      <c r="EU106" s="434"/>
      <c r="EV106" s="434"/>
      <c r="EW106" s="434"/>
      <c r="EX106" s="434"/>
      <c r="EY106" s="434"/>
      <c r="EZ106" s="434"/>
      <c r="FA106" s="434"/>
      <c r="FB106" s="434"/>
      <c r="FC106" s="399"/>
      <c r="FD106" s="399"/>
      <c r="FE106" s="399"/>
      <c r="FF106" s="399"/>
      <c r="FG106" s="415"/>
      <c r="FH106" s="415"/>
      <c r="FI106" s="415"/>
      <c r="FJ106" s="415"/>
      <c r="FK106" s="415"/>
      <c r="FL106" s="415"/>
      <c r="FM106" s="415"/>
    </row>
    <row r="107" spans="1:169">
      <c r="A107" s="410" t="s">
        <v>316</v>
      </c>
      <c r="B107" s="418" t="s">
        <v>1202</v>
      </c>
      <c r="C107" s="412"/>
      <c r="D107" s="412"/>
      <c r="E107" s="412"/>
      <c r="F107" s="412"/>
      <c r="G107" s="412"/>
      <c r="H107" s="412"/>
      <c r="I107" s="412"/>
      <c r="J107" s="412"/>
      <c r="K107" s="412"/>
      <c r="L107" s="412"/>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4"/>
      <c r="AP107" s="413"/>
      <c r="AQ107" s="413"/>
      <c r="AR107" s="413"/>
      <c r="AS107" s="413"/>
      <c r="AT107" s="413"/>
      <c r="AU107" s="413"/>
      <c r="AV107" s="413"/>
      <c r="AW107" s="413"/>
      <c r="AX107" s="413"/>
      <c r="AY107" s="414"/>
      <c r="AZ107" s="413"/>
      <c r="BA107" s="413"/>
      <c r="BB107" s="413"/>
      <c r="BC107" s="413"/>
      <c r="BD107" s="413"/>
      <c r="BE107" s="413"/>
      <c r="BF107" s="413"/>
      <c r="BG107" s="413"/>
      <c r="BH107" s="413"/>
      <c r="BI107" s="414"/>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4"/>
      <c r="CN107" s="413"/>
      <c r="CO107" s="413"/>
      <c r="CP107" s="413"/>
      <c r="CQ107" s="413"/>
      <c r="CR107" s="413"/>
      <c r="CS107" s="413"/>
      <c r="CT107" s="413"/>
      <c r="CU107" s="413"/>
      <c r="CV107" s="413"/>
      <c r="CW107" s="414"/>
      <c r="CX107" s="413"/>
      <c r="CY107" s="413"/>
      <c r="CZ107" s="413"/>
      <c r="DA107" s="413"/>
      <c r="DB107" s="413"/>
      <c r="DC107" s="413"/>
      <c r="DD107" s="413"/>
      <c r="DE107" s="413"/>
      <c r="DF107" s="413"/>
      <c r="DG107" s="414"/>
      <c r="DH107" s="413"/>
      <c r="DI107" s="413"/>
      <c r="DJ107" s="413"/>
      <c r="DK107" s="413"/>
      <c r="DL107" s="413"/>
      <c r="DM107" s="413"/>
      <c r="DN107" s="413"/>
      <c r="DO107" s="413"/>
      <c r="DP107" s="413"/>
      <c r="DQ107" s="414"/>
      <c r="DR107" s="413"/>
      <c r="DS107" s="413"/>
      <c r="DT107" s="413"/>
      <c r="DU107" s="413"/>
      <c r="DV107" s="413"/>
      <c r="DW107" s="413"/>
      <c r="DX107" s="413"/>
      <c r="DY107" s="413"/>
      <c r="DZ107" s="413"/>
      <c r="EA107" s="413"/>
      <c r="EB107" s="413"/>
      <c r="EC107" s="413"/>
      <c r="ED107" s="413"/>
      <c r="EE107" s="413"/>
      <c r="EF107" s="413"/>
      <c r="EG107" s="413"/>
      <c r="EH107" s="413"/>
      <c r="EI107" s="413"/>
      <c r="EJ107" s="413"/>
      <c r="EK107" s="413"/>
      <c r="EL107" s="413"/>
      <c r="EM107" s="452"/>
      <c r="EN107" s="413"/>
      <c r="EO107" s="453"/>
      <c r="EP107" s="413"/>
      <c r="EQ107" s="434"/>
      <c r="ER107" s="434"/>
      <c r="ES107" s="434"/>
      <c r="ET107" s="434"/>
      <c r="EU107" s="434"/>
      <c r="EV107" s="434"/>
      <c r="EW107" s="434"/>
      <c r="EX107" s="434"/>
      <c r="EY107" s="434"/>
      <c r="EZ107" s="434"/>
      <c r="FA107" s="434"/>
      <c r="FB107" s="434"/>
      <c r="FC107" s="399"/>
      <c r="FD107" s="399"/>
      <c r="FE107" s="399"/>
      <c r="FF107" s="399"/>
      <c r="FG107" s="415"/>
      <c r="FH107" s="415"/>
      <c r="FI107" s="415"/>
      <c r="FJ107" s="415"/>
      <c r="FK107" s="415"/>
      <c r="FL107" s="415"/>
      <c r="FM107" s="415"/>
    </row>
    <row r="108" spans="1:169">
      <c r="A108" s="410" t="s">
        <v>317</v>
      </c>
      <c r="B108" s="418" t="s">
        <v>1203</v>
      </c>
      <c r="C108" s="412"/>
      <c r="D108" s="412"/>
      <c r="E108" s="412"/>
      <c r="F108" s="412"/>
      <c r="G108" s="412"/>
      <c r="H108" s="412"/>
      <c r="I108" s="412"/>
      <c r="J108" s="412"/>
      <c r="K108" s="412"/>
      <c r="L108" s="412"/>
      <c r="M108" s="413"/>
      <c r="N108" s="413"/>
      <c r="O108" s="413"/>
      <c r="P108" s="413"/>
      <c r="Q108" s="413"/>
      <c r="R108" s="413"/>
      <c r="S108" s="413"/>
      <c r="T108" s="413">
        <f>1.58/12/2</f>
        <v>6.5833333333333341E-2</v>
      </c>
      <c r="U108" s="413"/>
      <c r="V108" s="413"/>
      <c r="W108" s="413">
        <f>+T108</f>
        <v>6.5833333333333341E-2</v>
      </c>
      <c r="X108" s="413"/>
      <c r="Y108" s="413"/>
      <c r="Z108" s="413"/>
      <c r="AA108" s="413"/>
      <c r="AB108" s="413"/>
      <c r="AC108" s="413"/>
      <c r="AD108" s="413">
        <f>1.58/12/2</f>
        <v>6.5833333333333341E-2</v>
      </c>
      <c r="AE108" s="413"/>
      <c r="AF108" s="413"/>
      <c r="AG108" s="413">
        <f>+AD108</f>
        <v>6.5833333333333341E-2</v>
      </c>
      <c r="AH108" s="413"/>
      <c r="AI108" s="413"/>
      <c r="AJ108" s="413"/>
      <c r="AK108" s="413"/>
      <c r="AL108" s="413"/>
      <c r="AM108" s="413"/>
      <c r="AN108" s="413">
        <f>1.58/12/2</f>
        <v>6.5833333333333341E-2</v>
      </c>
      <c r="AO108" s="414"/>
      <c r="AP108" s="413"/>
      <c r="AQ108" s="413">
        <f>+AN108</f>
        <v>6.5833333333333341E-2</v>
      </c>
      <c r="AR108" s="413"/>
      <c r="AS108" s="413"/>
      <c r="AT108" s="413"/>
      <c r="AU108" s="413"/>
      <c r="AV108" s="413"/>
      <c r="AW108" s="413"/>
      <c r="AX108" s="413">
        <f>1.58/12/2</f>
        <v>6.5833333333333341E-2</v>
      </c>
      <c r="AY108" s="414"/>
      <c r="AZ108" s="413"/>
      <c r="BA108" s="413">
        <f>+AX108</f>
        <v>6.5833333333333341E-2</v>
      </c>
      <c r="BB108" s="413"/>
      <c r="BC108" s="413"/>
      <c r="BD108" s="413"/>
      <c r="BE108" s="413"/>
      <c r="BF108" s="413"/>
      <c r="BG108" s="413"/>
      <c r="BH108" s="413">
        <f>1.58/12/2</f>
        <v>6.5833333333333341E-2</v>
      </c>
      <c r="BI108" s="414"/>
      <c r="BJ108" s="413"/>
      <c r="BK108" s="413">
        <f>+BH108</f>
        <v>6.5833333333333341E-2</v>
      </c>
      <c r="BL108" s="413"/>
      <c r="BM108" s="413"/>
      <c r="BN108" s="413"/>
      <c r="BO108" s="413"/>
      <c r="BP108" s="413"/>
      <c r="BQ108" s="413"/>
      <c r="BR108" s="413">
        <f>1.58/12/2</f>
        <v>6.5833333333333341E-2</v>
      </c>
      <c r="BS108" s="413"/>
      <c r="BT108" s="413"/>
      <c r="BU108" s="413">
        <f>+BR108</f>
        <v>6.5833333333333341E-2</v>
      </c>
      <c r="BV108" s="413"/>
      <c r="BW108" s="413"/>
      <c r="BX108" s="413"/>
      <c r="BY108" s="413"/>
      <c r="BZ108" s="413"/>
      <c r="CA108" s="413"/>
      <c r="CB108" s="413">
        <f>1.58/12/2</f>
        <v>6.5833333333333341E-2</v>
      </c>
      <c r="CC108" s="413"/>
      <c r="CD108" s="413"/>
      <c r="CE108" s="413">
        <f>+CB108</f>
        <v>6.5833333333333341E-2</v>
      </c>
      <c r="CF108" s="413"/>
      <c r="CG108" s="413"/>
      <c r="CH108" s="413"/>
      <c r="CI108" s="413"/>
      <c r="CJ108" s="413"/>
      <c r="CK108" s="413"/>
      <c r="CL108" s="413">
        <f>1.58/12/2</f>
        <v>6.5833333333333341E-2</v>
      </c>
      <c r="CM108" s="414"/>
      <c r="CN108" s="413"/>
      <c r="CO108" s="413">
        <f>+CL108</f>
        <v>6.5833333333333341E-2</v>
      </c>
      <c r="CP108" s="413"/>
      <c r="CQ108" s="413"/>
      <c r="CR108" s="413"/>
      <c r="CS108" s="413"/>
      <c r="CT108" s="413"/>
      <c r="CU108" s="413"/>
      <c r="CV108" s="413">
        <f>1.58/12/2</f>
        <v>6.5833333333333341E-2</v>
      </c>
      <c r="CW108" s="414"/>
      <c r="CX108" s="413"/>
      <c r="CY108" s="413">
        <f>+CV108</f>
        <v>6.5833333333333341E-2</v>
      </c>
      <c r="CZ108" s="413"/>
      <c r="DA108" s="413"/>
      <c r="DB108" s="413"/>
      <c r="DC108" s="413"/>
      <c r="DD108" s="413"/>
      <c r="DE108" s="413"/>
      <c r="DF108" s="413">
        <f>1.58/12/2</f>
        <v>6.5833333333333341E-2</v>
      </c>
      <c r="DG108" s="414"/>
      <c r="DH108" s="413"/>
      <c r="DI108" s="413">
        <f>+DF108</f>
        <v>6.5833333333333341E-2</v>
      </c>
      <c r="DJ108" s="413"/>
      <c r="DK108" s="413"/>
      <c r="DL108" s="413"/>
      <c r="DM108" s="413"/>
      <c r="DN108" s="413"/>
      <c r="DO108" s="413"/>
      <c r="DP108" s="413">
        <f>1.58/12/2</f>
        <v>6.5833333333333341E-2</v>
      </c>
      <c r="DQ108" s="414"/>
      <c r="DR108" s="413"/>
      <c r="DS108" s="413">
        <f>+DP108</f>
        <v>6.5833333333333341E-2</v>
      </c>
      <c r="DT108" s="413"/>
      <c r="DU108" s="413"/>
      <c r="DV108" s="413"/>
      <c r="DW108" s="413"/>
      <c r="DX108" s="413"/>
      <c r="DY108" s="413"/>
      <c r="DZ108" s="413">
        <f>1.58/12/2</f>
        <v>6.5833333333333341E-2</v>
      </c>
      <c r="EA108" s="413"/>
      <c r="EB108" s="413"/>
      <c r="EC108" s="413">
        <f>+DZ108</f>
        <v>6.5833333333333341E-2</v>
      </c>
      <c r="ED108" s="413"/>
      <c r="EE108" s="413"/>
      <c r="EF108" s="413"/>
      <c r="EG108" s="413"/>
      <c r="EH108" s="413"/>
      <c r="EI108" s="413"/>
      <c r="EJ108" s="413"/>
      <c r="EK108" s="413">
        <f t="shared" ref="EK108" si="50">T108+AD108+AN108+AX108+BH108+BR108+CB108+CL108+CV108+DF108+DP108+DZ108</f>
        <v>0.78999999999999992</v>
      </c>
      <c r="EL108" s="413"/>
      <c r="EM108" s="413"/>
      <c r="EN108" s="807">
        <f t="shared" ref="EN108" si="51">+EG108+EI108+EK108+EL108</f>
        <v>0.78999999999999992</v>
      </c>
      <c r="EO108" s="453"/>
      <c r="EP108" s="413"/>
      <c r="EQ108" s="434"/>
      <c r="ER108" s="434"/>
      <c r="ES108" s="434"/>
      <c r="ET108" s="434"/>
      <c r="EU108" s="434"/>
      <c r="EV108" s="434"/>
      <c r="EW108" s="434"/>
      <c r="EX108" s="434"/>
      <c r="EY108" s="434"/>
      <c r="EZ108" s="434"/>
      <c r="FA108" s="434"/>
      <c r="FB108" s="434"/>
      <c r="FC108" s="399"/>
      <c r="FD108" s="399"/>
      <c r="FE108" s="399"/>
      <c r="FF108" s="399"/>
      <c r="FG108" s="415"/>
      <c r="FH108" s="415"/>
      <c r="FI108" s="415"/>
      <c r="FJ108" s="415"/>
      <c r="FK108" s="415"/>
      <c r="FL108" s="415"/>
      <c r="FM108" s="415"/>
    </row>
    <row r="109" spans="1:169">
      <c r="A109" s="410" t="s">
        <v>1008</v>
      </c>
      <c r="B109" s="418" t="s">
        <v>603</v>
      </c>
      <c r="C109" s="412"/>
      <c r="D109" s="412"/>
      <c r="E109" s="412"/>
      <c r="F109" s="412"/>
      <c r="G109" s="412"/>
      <c r="H109" s="412"/>
      <c r="I109" s="412"/>
      <c r="J109" s="412"/>
      <c r="K109" s="412"/>
      <c r="L109" s="412"/>
      <c r="M109" s="413"/>
      <c r="N109" s="413"/>
      <c r="O109" s="413"/>
      <c r="P109" s="413"/>
      <c r="Q109" s="413"/>
      <c r="R109" s="413"/>
      <c r="S109" s="413"/>
      <c r="T109" s="413"/>
      <c r="U109" s="413"/>
      <c r="V109" s="413"/>
      <c r="W109" s="413"/>
      <c r="X109" s="413"/>
      <c r="Y109" s="413"/>
      <c r="Z109" s="413"/>
      <c r="AA109" s="413"/>
      <c r="AB109" s="413"/>
      <c r="AC109" s="413"/>
      <c r="AD109" s="413"/>
      <c r="AE109" s="413"/>
      <c r="AF109" s="413"/>
      <c r="AG109" s="413"/>
      <c r="AH109" s="413"/>
      <c r="AI109" s="413"/>
      <c r="AJ109" s="413"/>
      <c r="AK109" s="413"/>
      <c r="AL109" s="413"/>
      <c r="AM109" s="413"/>
      <c r="AN109" s="413"/>
      <c r="AO109" s="414"/>
      <c r="AP109" s="413"/>
      <c r="AQ109" s="413"/>
      <c r="AR109" s="413"/>
      <c r="AS109" s="413"/>
      <c r="AT109" s="413"/>
      <c r="AU109" s="413"/>
      <c r="AV109" s="413"/>
      <c r="AW109" s="413"/>
      <c r="AX109" s="413"/>
      <c r="AY109" s="414"/>
      <c r="AZ109" s="413"/>
      <c r="BA109" s="413"/>
      <c r="BB109" s="413"/>
      <c r="BC109" s="413"/>
      <c r="BD109" s="413"/>
      <c r="BE109" s="413"/>
      <c r="BF109" s="413"/>
      <c r="BG109" s="413"/>
      <c r="BH109" s="413"/>
      <c r="BI109" s="414"/>
      <c r="BJ109" s="413"/>
      <c r="BK109" s="413"/>
      <c r="BL109" s="413"/>
      <c r="BM109" s="413"/>
      <c r="BN109" s="413"/>
      <c r="BO109" s="413"/>
      <c r="BP109" s="413"/>
      <c r="BQ109" s="413"/>
      <c r="BR109" s="413"/>
      <c r="BS109" s="413"/>
      <c r="BT109" s="413"/>
      <c r="BU109" s="413"/>
      <c r="BV109" s="413"/>
      <c r="BW109" s="413"/>
      <c r="BX109" s="413"/>
      <c r="BY109" s="413"/>
      <c r="BZ109" s="413"/>
      <c r="CA109" s="413"/>
      <c r="CB109" s="413"/>
      <c r="CC109" s="413"/>
      <c r="CD109" s="413"/>
      <c r="CE109" s="413"/>
      <c r="CF109" s="413"/>
      <c r="CG109" s="413"/>
      <c r="CH109" s="413"/>
      <c r="CI109" s="413"/>
      <c r="CJ109" s="413"/>
      <c r="CK109" s="413"/>
      <c r="CL109" s="413"/>
      <c r="CM109" s="414"/>
      <c r="CN109" s="413"/>
      <c r="CO109" s="413"/>
      <c r="CP109" s="413"/>
      <c r="CQ109" s="413"/>
      <c r="CR109" s="413"/>
      <c r="CS109" s="413"/>
      <c r="CT109" s="413"/>
      <c r="CU109" s="413"/>
      <c r="CV109" s="413"/>
      <c r="CW109" s="414"/>
      <c r="CX109" s="413"/>
      <c r="CY109" s="413"/>
      <c r="CZ109" s="413"/>
      <c r="DA109" s="413"/>
      <c r="DB109" s="413"/>
      <c r="DC109" s="413"/>
      <c r="DD109" s="413"/>
      <c r="DE109" s="413"/>
      <c r="DF109" s="413"/>
      <c r="DG109" s="414"/>
      <c r="DH109" s="413"/>
      <c r="DI109" s="413"/>
      <c r="DJ109" s="413"/>
      <c r="DK109" s="413"/>
      <c r="DL109" s="413"/>
      <c r="DM109" s="413"/>
      <c r="DN109" s="413"/>
      <c r="DO109" s="413"/>
      <c r="DP109" s="413"/>
      <c r="DQ109" s="414"/>
      <c r="DR109" s="413"/>
      <c r="DS109" s="413"/>
      <c r="DT109" s="413"/>
      <c r="DU109" s="413"/>
      <c r="DV109" s="413"/>
      <c r="DW109" s="413"/>
      <c r="DX109" s="413"/>
      <c r="DY109" s="413"/>
      <c r="DZ109" s="413"/>
      <c r="EA109" s="413"/>
      <c r="EB109" s="413"/>
      <c r="EC109" s="413"/>
      <c r="ED109" s="413"/>
      <c r="EE109" s="413"/>
      <c r="EF109" s="413"/>
      <c r="EG109" s="413"/>
      <c r="EH109" s="413"/>
      <c r="EI109" s="413"/>
      <c r="EJ109" s="413"/>
      <c r="EK109" s="413"/>
      <c r="EL109" s="413"/>
      <c r="EM109" s="452"/>
      <c r="EN109" s="413"/>
      <c r="EO109" s="453"/>
      <c r="EP109" s="413"/>
      <c r="EQ109" s="434"/>
      <c r="ER109" s="434"/>
      <c r="ES109" s="434"/>
      <c r="ET109" s="434"/>
      <c r="EU109" s="434"/>
      <c r="EV109" s="434"/>
      <c r="EW109" s="434"/>
      <c r="EX109" s="434"/>
      <c r="EY109" s="434"/>
      <c r="EZ109" s="434"/>
      <c r="FA109" s="434"/>
      <c r="FB109" s="434"/>
      <c r="FC109" s="399"/>
      <c r="FD109" s="399"/>
      <c r="FE109" s="399"/>
      <c r="FF109" s="399"/>
      <c r="FG109" s="415"/>
      <c r="FH109" s="415"/>
      <c r="FI109" s="415"/>
      <c r="FJ109" s="415"/>
      <c r="FK109" s="415"/>
      <c r="FL109" s="415"/>
      <c r="FM109" s="415"/>
    </row>
    <row r="110" spans="1:169">
      <c r="A110" s="410"/>
      <c r="B110" s="464" t="s">
        <v>1353</v>
      </c>
      <c r="C110" s="412"/>
      <c r="D110" s="412"/>
      <c r="E110" s="412"/>
      <c r="F110" s="412"/>
      <c r="G110" s="412"/>
      <c r="H110" s="412"/>
      <c r="I110" s="412"/>
      <c r="J110" s="412"/>
      <c r="K110" s="412"/>
      <c r="L110" s="412"/>
      <c r="M110" s="413"/>
      <c r="N110" s="413"/>
      <c r="O110" s="413"/>
      <c r="P110" s="413"/>
      <c r="Q110" s="413"/>
      <c r="R110" s="413"/>
      <c r="S110" s="413"/>
      <c r="T110" s="413"/>
      <c r="U110" s="413"/>
      <c r="V110" s="413"/>
      <c r="W110" s="413"/>
      <c r="X110" s="413"/>
      <c r="Y110" s="413"/>
      <c r="Z110" s="413"/>
      <c r="AA110" s="413"/>
      <c r="AB110" s="413"/>
      <c r="AC110" s="413"/>
      <c r="AD110" s="413"/>
      <c r="AE110" s="413"/>
      <c r="AF110" s="413"/>
      <c r="AG110" s="413"/>
      <c r="AH110" s="413"/>
      <c r="AI110" s="413"/>
      <c r="AJ110" s="413"/>
      <c r="AK110" s="413"/>
      <c r="AL110" s="413"/>
      <c r="AM110" s="413"/>
      <c r="AN110" s="413"/>
      <c r="AO110" s="414"/>
      <c r="AP110" s="413"/>
      <c r="AQ110" s="413"/>
      <c r="AR110" s="413"/>
      <c r="AS110" s="413"/>
      <c r="AT110" s="413"/>
      <c r="AU110" s="413"/>
      <c r="AV110" s="413"/>
      <c r="AW110" s="413"/>
      <c r="AX110" s="413"/>
      <c r="AY110" s="414"/>
      <c r="AZ110" s="413"/>
      <c r="BA110" s="413"/>
      <c r="BB110" s="413"/>
      <c r="BC110" s="413"/>
      <c r="BD110" s="413"/>
      <c r="BE110" s="413"/>
      <c r="BF110" s="413"/>
      <c r="BG110" s="413"/>
      <c r="BH110" s="413"/>
      <c r="BI110" s="414"/>
      <c r="BJ110" s="413"/>
      <c r="BK110" s="413"/>
      <c r="BL110" s="413"/>
      <c r="BM110" s="413"/>
      <c r="BN110" s="413"/>
      <c r="BO110" s="413"/>
      <c r="BP110" s="413"/>
      <c r="BQ110" s="413"/>
      <c r="BR110" s="413"/>
      <c r="BS110" s="413"/>
      <c r="BT110" s="413"/>
      <c r="BU110" s="413"/>
      <c r="BV110" s="413"/>
      <c r="BW110" s="413"/>
      <c r="BX110" s="413"/>
      <c r="BY110" s="413"/>
      <c r="BZ110" s="413"/>
      <c r="CA110" s="413"/>
      <c r="CB110" s="413"/>
      <c r="CC110" s="413"/>
      <c r="CD110" s="413"/>
      <c r="CE110" s="413"/>
      <c r="CF110" s="413"/>
      <c r="CG110" s="413"/>
      <c r="CH110" s="413"/>
      <c r="CI110" s="413"/>
      <c r="CJ110" s="413"/>
      <c r="CK110" s="413"/>
      <c r="CL110" s="413"/>
      <c r="CM110" s="414"/>
      <c r="CN110" s="413"/>
      <c r="CO110" s="413"/>
      <c r="CP110" s="413"/>
      <c r="CQ110" s="413"/>
      <c r="CR110" s="413"/>
      <c r="CS110" s="413"/>
      <c r="CT110" s="413"/>
      <c r="CU110" s="413"/>
      <c r="CV110" s="413"/>
      <c r="CW110" s="414"/>
      <c r="CX110" s="413"/>
      <c r="CY110" s="413"/>
      <c r="CZ110" s="413"/>
      <c r="DA110" s="413"/>
      <c r="DB110" s="413"/>
      <c r="DC110" s="413"/>
      <c r="DD110" s="413"/>
      <c r="DE110" s="413"/>
      <c r="DF110" s="413"/>
      <c r="DG110" s="414"/>
      <c r="DH110" s="413"/>
      <c r="DI110" s="413"/>
      <c r="DJ110" s="413"/>
      <c r="DK110" s="413"/>
      <c r="DL110" s="413"/>
      <c r="DM110" s="413"/>
      <c r="DN110" s="413"/>
      <c r="DO110" s="413"/>
      <c r="DP110" s="413"/>
      <c r="DQ110" s="414"/>
      <c r="DR110" s="413"/>
      <c r="DS110" s="413"/>
      <c r="DT110" s="413"/>
      <c r="DU110" s="413"/>
      <c r="DV110" s="413"/>
      <c r="DW110" s="413"/>
      <c r="DX110" s="413"/>
      <c r="DY110" s="413"/>
      <c r="DZ110" s="413"/>
      <c r="EA110" s="413"/>
      <c r="EB110" s="413"/>
      <c r="EC110" s="413"/>
      <c r="ED110" s="413"/>
      <c r="EE110" s="413"/>
      <c r="EF110" s="413"/>
      <c r="EG110" s="413"/>
      <c r="EH110" s="413"/>
      <c r="EI110" s="413"/>
      <c r="EJ110" s="413"/>
      <c r="EK110" s="413"/>
      <c r="EL110" s="413"/>
      <c r="EM110" s="452"/>
      <c r="EN110" s="413"/>
      <c r="EO110" s="453"/>
      <c r="EP110" s="413"/>
      <c r="EQ110" s="434"/>
      <c r="ER110" s="434"/>
      <c r="ES110" s="434"/>
      <c r="ET110" s="434"/>
      <c r="EU110" s="434"/>
      <c r="EV110" s="434"/>
      <c r="EW110" s="434"/>
      <c r="EX110" s="434"/>
      <c r="EY110" s="434"/>
      <c r="EZ110" s="434"/>
      <c r="FA110" s="434"/>
      <c r="FB110" s="434"/>
      <c r="FC110" s="399"/>
      <c r="FD110" s="399"/>
      <c r="FE110" s="399"/>
      <c r="FF110" s="399"/>
      <c r="FG110" s="415"/>
      <c r="FH110" s="415"/>
      <c r="FI110" s="415"/>
      <c r="FJ110" s="415"/>
      <c r="FK110" s="415"/>
      <c r="FL110" s="415"/>
      <c r="FM110" s="415"/>
    </row>
    <row r="111" spans="1:169">
      <c r="A111" s="410"/>
      <c r="B111" s="464" t="s">
        <v>1354</v>
      </c>
      <c r="C111" s="412"/>
      <c r="D111" s="412"/>
      <c r="E111" s="412"/>
      <c r="F111" s="412"/>
      <c r="G111" s="412"/>
      <c r="H111" s="412"/>
      <c r="I111" s="412"/>
      <c r="J111" s="412"/>
      <c r="K111" s="412"/>
      <c r="L111" s="412"/>
      <c r="M111" s="413"/>
      <c r="N111" s="413"/>
      <c r="O111" s="413"/>
      <c r="P111" s="413"/>
      <c r="Q111" s="413"/>
      <c r="R111" s="413"/>
      <c r="S111" s="413"/>
      <c r="T111" s="413"/>
      <c r="U111" s="413"/>
      <c r="V111" s="413"/>
      <c r="W111" s="413"/>
      <c r="X111" s="413"/>
      <c r="Y111" s="413"/>
      <c r="Z111" s="413"/>
      <c r="AA111" s="413"/>
      <c r="AB111" s="413"/>
      <c r="AC111" s="413"/>
      <c r="AD111" s="413"/>
      <c r="AE111" s="413"/>
      <c r="AF111" s="413"/>
      <c r="AG111" s="413"/>
      <c r="AH111" s="413"/>
      <c r="AI111" s="413"/>
      <c r="AJ111" s="413"/>
      <c r="AK111" s="413"/>
      <c r="AL111" s="413"/>
      <c r="AM111" s="413"/>
      <c r="AN111" s="413"/>
      <c r="AO111" s="414"/>
      <c r="AP111" s="413"/>
      <c r="AQ111" s="413"/>
      <c r="AR111" s="413"/>
      <c r="AS111" s="413"/>
      <c r="AT111" s="413"/>
      <c r="AU111" s="413"/>
      <c r="AV111" s="413"/>
      <c r="AW111" s="413"/>
      <c r="AX111" s="413"/>
      <c r="AY111" s="414"/>
      <c r="AZ111" s="413"/>
      <c r="BA111" s="413"/>
      <c r="BB111" s="413"/>
      <c r="BC111" s="413"/>
      <c r="BD111" s="413"/>
      <c r="BE111" s="413"/>
      <c r="BF111" s="413"/>
      <c r="BG111" s="413"/>
      <c r="BH111" s="413"/>
      <c r="BI111" s="414"/>
      <c r="BJ111" s="413"/>
      <c r="BK111" s="413"/>
      <c r="BL111" s="413"/>
      <c r="BM111" s="413"/>
      <c r="BN111" s="413"/>
      <c r="BO111" s="413"/>
      <c r="BP111" s="413"/>
      <c r="BQ111" s="413"/>
      <c r="BR111" s="413"/>
      <c r="BS111" s="413"/>
      <c r="BT111" s="413"/>
      <c r="BU111" s="413"/>
      <c r="BV111" s="413"/>
      <c r="BW111" s="413"/>
      <c r="BX111" s="413"/>
      <c r="BY111" s="413"/>
      <c r="BZ111" s="413"/>
      <c r="CA111" s="413"/>
      <c r="CB111" s="413"/>
      <c r="CC111" s="413"/>
      <c r="CD111" s="413"/>
      <c r="CE111" s="413"/>
      <c r="CF111" s="413"/>
      <c r="CG111" s="413"/>
      <c r="CH111" s="413"/>
      <c r="CI111" s="413"/>
      <c r="CJ111" s="413"/>
      <c r="CK111" s="413"/>
      <c r="CL111" s="413"/>
      <c r="CM111" s="414"/>
      <c r="CN111" s="413"/>
      <c r="CO111" s="413"/>
      <c r="CP111" s="413"/>
      <c r="CQ111" s="413"/>
      <c r="CR111" s="413"/>
      <c r="CS111" s="413"/>
      <c r="CT111" s="413"/>
      <c r="CU111" s="413"/>
      <c r="CV111" s="413"/>
      <c r="CW111" s="414"/>
      <c r="CX111" s="413"/>
      <c r="CY111" s="413"/>
      <c r="CZ111" s="413"/>
      <c r="DA111" s="413"/>
      <c r="DB111" s="413"/>
      <c r="DC111" s="413"/>
      <c r="DD111" s="413"/>
      <c r="DE111" s="413"/>
      <c r="DF111" s="413"/>
      <c r="DG111" s="414"/>
      <c r="DH111" s="413"/>
      <c r="DI111" s="413"/>
      <c r="DJ111" s="413"/>
      <c r="DK111" s="413"/>
      <c r="DL111" s="413"/>
      <c r="DM111" s="413"/>
      <c r="DN111" s="413"/>
      <c r="DO111" s="413"/>
      <c r="DP111" s="413"/>
      <c r="DQ111" s="414"/>
      <c r="DR111" s="413"/>
      <c r="DS111" s="413"/>
      <c r="DT111" s="413"/>
      <c r="DU111" s="413"/>
      <c r="DV111" s="413"/>
      <c r="DW111" s="413"/>
      <c r="DX111" s="413"/>
      <c r="DY111" s="413"/>
      <c r="DZ111" s="413"/>
      <c r="EA111" s="413"/>
      <c r="EB111" s="413"/>
      <c r="EC111" s="413"/>
      <c r="ED111" s="413"/>
      <c r="EE111" s="413"/>
      <c r="EF111" s="413"/>
      <c r="EG111" s="413"/>
      <c r="EH111" s="413"/>
      <c r="EI111" s="413"/>
      <c r="EJ111" s="413"/>
      <c r="EK111" s="413"/>
      <c r="EL111" s="413"/>
      <c r="EM111" s="452"/>
      <c r="EN111" s="413"/>
      <c r="EO111" s="453"/>
      <c r="EP111" s="413"/>
      <c r="EQ111" s="434"/>
      <c r="ER111" s="434"/>
      <c r="ES111" s="434"/>
      <c r="ET111" s="434"/>
      <c r="EU111" s="434"/>
      <c r="EV111" s="434"/>
      <c r="EW111" s="434"/>
      <c r="EX111" s="434"/>
      <c r="EY111" s="434"/>
      <c r="EZ111" s="434"/>
      <c r="FA111" s="434"/>
      <c r="FB111" s="434"/>
      <c r="FC111" s="399"/>
      <c r="FD111" s="399"/>
      <c r="FE111" s="399"/>
      <c r="FF111" s="399"/>
      <c r="FG111" s="415"/>
      <c r="FH111" s="415"/>
      <c r="FI111" s="415"/>
      <c r="FJ111" s="415"/>
      <c r="FK111" s="415"/>
      <c r="FL111" s="415"/>
      <c r="FM111" s="415"/>
    </row>
    <row r="112" spans="1:169">
      <c r="A112" s="410"/>
      <c r="B112" s="419" t="s">
        <v>79</v>
      </c>
      <c r="C112" s="412"/>
      <c r="D112" s="412"/>
      <c r="E112" s="412"/>
      <c r="F112" s="412"/>
      <c r="G112" s="412"/>
      <c r="H112" s="412"/>
      <c r="I112" s="412"/>
      <c r="J112" s="807">
        <f>SUM(J9:J109)</f>
        <v>13.943556227188257</v>
      </c>
      <c r="K112" s="412"/>
      <c r="L112" s="412"/>
      <c r="M112" s="807">
        <f>SUM(M9:M109)</f>
        <v>13.50015113916367</v>
      </c>
      <c r="N112" s="807">
        <f>SUM(N9:N109)</f>
        <v>7.3275577548444772</v>
      </c>
      <c r="O112" s="413"/>
      <c r="P112" s="413"/>
      <c r="Q112" s="807">
        <f>+R112/N112*10</f>
        <v>5.9500000000000011</v>
      </c>
      <c r="R112" s="807">
        <f>SUM(R9:R109)</f>
        <v>4.3598968641324642</v>
      </c>
      <c r="S112" s="807">
        <f>IFERROR(+T112/N112*10,0)</f>
        <v>3.6789793045998984E-2</v>
      </c>
      <c r="T112" s="807">
        <f>SUM(T9:T109)</f>
        <v>2.695793333333333E-2</v>
      </c>
      <c r="U112" s="413"/>
      <c r="V112" s="807">
        <f>IFERROR(+W112/N112*10,0)</f>
        <v>5.9867897930460003</v>
      </c>
      <c r="W112" s="807">
        <f>SUM(W9:W109)</f>
        <v>4.3868547974657979</v>
      </c>
      <c r="X112" s="807">
        <f>SUM(X9:X109)</f>
        <v>7.5718096800059609</v>
      </c>
      <c r="Y112" s="413"/>
      <c r="Z112" s="413"/>
      <c r="AA112" s="807">
        <f>+AB112/X112*10</f>
        <v>5.9500000000000011</v>
      </c>
      <c r="AB112" s="807">
        <f>SUM(AB9:AB109)</f>
        <v>4.5052267596035476</v>
      </c>
      <c r="AC112" s="807">
        <f>IFERROR(+AD112/X112*10,0)</f>
        <v>3.2281256880870378E-2</v>
      </c>
      <c r="AD112" s="807">
        <f>SUM(AD9:AD109)</f>
        <v>2.4442753333333338E-2</v>
      </c>
      <c r="AE112" s="413"/>
      <c r="AF112" s="807">
        <f>IFERROR(+AG112/X112*10,0)</f>
        <v>5.9822812568808716</v>
      </c>
      <c r="AG112" s="807">
        <f>SUM(AG9:AG109)</f>
        <v>4.5296695129368807</v>
      </c>
      <c r="AH112" s="807">
        <f>SUM(AH9:AH109)</f>
        <v>7.3275577548444772</v>
      </c>
      <c r="AI112" s="413"/>
      <c r="AJ112" s="413"/>
      <c r="AK112" s="807">
        <f>+AL112/AH112*10</f>
        <v>5.9500000000000011</v>
      </c>
      <c r="AL112" s="807">
        <f>SUM(AL9:AL109)</f>
        <v>4.3598968641324642</v>
      </c>
      <c r="AM112" s="807">
        <f>IFERROR(+AN112/AH112*10,0)</f>
        <v>3.5179433852009875E-2</v>
      </c>
      <c r="AN112" s="807">
        <f>SUM(AN9:AN109)</f>
        <v>2.5777933333333329E-2</v>
      </c>
      <c r="AO112" s="413"/>
      <c r="AP112" s="807">
        <f>IFERROR(+AQ112/AH112*10,0)</f>
        <v>5.9851794338520108</v>
      </c>
      <c r="AQ112" s="807">
        <f>SUM(AQ9:AQ109)</f>
        <v>4.3856747974657972</v>
      </c>
      <c r="AR112" s="807">
        <f>SUM(AR9:AR109)</f>
        <v>8.5273517819645512</v>
      </c>
      <c r="AS112" s="413"/>
      <c r="AT112" s="413"/>
      <c r="AU112" s="807">
        <f>+AV112/AR112*10</f>
        <v>5.9499999999999993</v>
      </c>
      <c r="AV112" s="807">
        <f>SUM(AV9:AV109)</f>
        <v>5.0737743102689077</v>
      </c>
      <c r="AW112" s="807">
        <f>IFERROR(+AX112/AR112*10,0)</f>
        <v>2.4251343045412679E-2</v>
      </c>
      <c r="AX112" s="807">
        <f>SUM(AX9:AX109)</f>
        <v>2.0679973333333344E-2</v>
      </c>
      <c r="AY112" s="413"/>
      <c r="AZ112" s="807">
        <f>IFERROR(+BA112/AR112*10,0)</f>
        <v>5.9742513430454123</v>
      </c>
      <c r="BA112" s="807">
        <f>SUM(BA9:BA109)</f>
        <v>5.0944542836022411</v>
      </c>
      <c r="BB112" s="807">
        <f>SUM(BB9:BB109)</f>
        <v>8.5273517819645512</v>
      </c>
      <c r="BC112" s="413"/>
      <c r="BD112" s="413"/>
      <c r="BE112" s="807">
        <f>+BF112/BB112*10</f>
        <v>5.3270445812690319</v>
      </c>
      <c r="BF112" s="807">
        <f>SUM(BF9:BF109)</f>
        <v>4.542558310268908</v>
      </c>
      <c r="BG112" s="807">
        <f>IFERROR(+BH112/BB112*10,0)</f>
        <v>3.0480897232722362E-2</v>
      </c>
      <c r="BH112" s="807">
        <f>SUM(BH9:BH109)</f>
        <v>2.5992133333333341E-2</v>
      </c>
      <c r="BI112" s="413"/>
      <c r="BJ112" s="807">
        <f>IFERROR(+BK112/BB112*10,0)</f>
        <v>5.3575254785017528</v>
      </c>
      <c r="BK112" s="807">
        <f>SUM(BK9:BK109)</f>
        <v>4.5685504436022404</v>
      </c>
      <c r="BL112" s="807">
        <f>SUM(BL9:BL109)</f>
        <v>8.2522759180302128</v>
      </c>
      <c r="BM112" s="413"/>
      <c r="BN112" s="413"/>
      <c r="BO112" s="807">
        <f>+BP112/BL112*10</f>
        <v>5.3270445812690319</v>
      </c>
      <c r="BP112" s="807">
        <f>SUM(BP9:BP109)</f>
        <v>4.3960241712279764</v>
      </c>
      <c r="BQ112" s="807">
        <f>IFERROR(+BR112/BL112*10,0)</f>
        <v>3.3054315687307184E-2</v>
      </c>
      <c r="BR112" s="807">
        <f>SUM(BR9:BR109)</f>
        <v>2.7277333333333334E-2</v>
      </c>
      <c r="BS112" s="413"/>
      <c r="BT112" s="807">
        <f>IFERROR(+BU112/BL112*10,0)</f>
        <v>5.3600988969563375</v>
      </c>
      <c r="BU112" s="807">
        <f>SUM(BU9:BU109)</f>
        <v>4.4233015045613095</v>
      </c>
      <c r="BV112" s="807">
        <f>SUM(BV9:BV109)</f>
        <v>9.4027997116342217</v>
      </c>
      <c r="BW112" s="413"/>
      <c r="BX112" s="413"/>
      <c r="BY112" s="807">
        <f>+BZ112/BV112*10</f>
        <v>5.3379652681658785</v>
      </c>
      <c r="BZ112" s="807">
        <f>SUM(BZ9:BZ109)</f>
        <v>5.0191818284223615</v>
      </c>
      <c r="CA112" s="807">
        <f>IFERROR(+CB112/BV112*10,0)</f>
        <v>2.4112002838134382E-2</v>
      </c>
      <c r="CB112" s="807">
        <f>SUM(CB9:CB109)</f>
        <v>2.2672033333333348E-2</v>
      </c>
      <c r="CC112" s="413"/>
      <c r="CD112" s="807">
        <f>IFERROR(+CE112/BV112*10,0)</f>
        <v>5.3620772710040123</v>
      </c>
      <c r="CE112" s="807">
        <f>SUM(CE9:CE109)</f>
        <v>5.0418538617556941</v>
      </c>
      <c r="CF112" s="807">
        <f>SUM(CF9:CF109)</f>
        <v>9.099483591904086</v>
      </c>
      <c r="CG112" s="413"/>
      <c r="CH112" s="413"/>
      <c r="CI112" s="807">
        <f>+CJ112/CF112*10</f>
        <v>5.3379652681658785</v>
      </c>
      <c r="CJ112" s="807">
        <f>SUM(CJ9:CJ109)</f>
        <v>4.8572727371829307</v>
      </c>
      <c r="CK112" s="807">
        <f>IFERROR(+CL112/CF112*10,0)</f>
        <v>2.6445823095657493E-2</v>
      </c>
      <c r="CL112" s="807">
        <f>SUM(CL9:CL109)</f>
        <v>2.4064333333333347E-2</v>
      </c>
      <c r="CM112" s="413"/>
      <c r="CN112" s="807">
        <f>IFERROR(+CO112/CF112*10,0)</f>
        <v>5.3644110912615348</v>
      </c>
      <c r="CO112" s="807">
        <f>SUM(CO9:CO109)</f>
        <v>4.8813370705162633</v>
      </c>
      <c r="CP112" s="807">
        <f>SUM(CP9:CP109)</f>
        <v>9.4027997116342217</v>
      </c>
      <c r="CQ112" s="413"/>
      <c r="CR112" s="413"/>
      <c r="CS112" s="807">
        <f>+CT112/CP112*10</f>
        <v>5.3379652681658785</v>
      </c>
      <c r="CT112" s="807">
        <f>SUM(CT9:CT109)</f>
        <v>5.0191818284223615</v>
      </c>
      <c r="CU112" s="807">
        <f>IFERROR(+CV112/CP112*10,0)</f>
        <v>2.4112002838134382E-2</v>
      </c>
      <c r="CV112" s="807">
        <f>SUM(CV9:CV109)</f>
        <v>2.2672033333333348E-2</v>
      </c>
      <c r="CW112" s="413"/>
      <c r="CX112" s="807">
        <f>IFERROR(+CY112/CP112*10,0)</f>
        <v>5.3620772710040123</v>
      </c>
      <c r="CY112" s="807">
        <f>SUM(CY9:CY109)</f>
        <v>5.0418538617556941</v>
      </c>
      <c r="CZ112" s="807">
        <f>SUM(CZ9:CZ109)</f>
        <v>10.302462158507518</v>
      </c>
      <c r="DA112" s="413"/>
      <c r="DB112" s="413"/>
      <c r="DC112" s="807">
        <f>+DD112/CZ112*10</f>
        <v>5.3054744586451408</v>
      </c>
      <c r="DD112" s="807">
        <f>SUM(DD9:DD109)</f>
        <v>5.4659449843119727</v>
      </c>
      <c r="DE112" s="807">
        <f>IFERROR(+DF112/CZ112*10,0)</f>
        <v>1.5561166919787858E-2</v>
      </c>
      <c r="DF112" s="807">
        <f>SUM(DF9:DF109)</f>
        <v>1.6031833333333342E-2</v>
      </c>
      <c r="DG112" s="413"/>
      <c r="DH112" s="807">
        <f>IFERROR(+DI112/CZ112*10,0)</f>
        <v>5.3210356255649298</v>
      </c>
      <c r="DI112" s="807">
        <f>SUM(DI9:DI109)</f>
        <v>5.4819768176453065</v>
      </c>
      <c r="DJ112" s="807">
        <f>SUM(DJ9:DJ109)</f>
        <v>9.305449691555177</v>
      </c>
      <c r="DK112" s="413"/>
      <c r="DL112" s="413"/>
      <c r="DM112" s="807">
        <f>+DN112/DJ112*10</f>
        <v>5.3054744586451417</v>
      </c>
      <c r="DN112" s="807">
        <f>SUM(DN9:DN109)</f>
        <v>4.9369825664753302</v>
      </c>
      <c r="DO112" s="807">
        <f>IFERROR(+DP112/DJ112*10,0)</f>
        <v>2.2407657904223811E-2</v>
      </c>
      <c r="DP112" s="807">
        <f>SUM(DP9:DP109)</f>
        <v>2.085133333333334E-2</v>
      </c>
      <c r="DQ112" s="413"/>
      <c r="DR112" s="807">
        <f>IFERROR(+DS112/DJ112*10,0)</f>
        <v>5.3278821165493646</v>
      </c>
      <c r="DS112" s="807">
        <f>SUM(DS9:DS109)</f>
        <v>4.9578338998086631</v>
      </c>
      <c r="DT112" s="807">
        <f>SUM(DT9:DT109)</f>
        <v>10.302462158507518</v>
      </c>
      <c r="DU112" s="413"/>
      <c r="DV112" s="413"/>
      <c r="DW112" s="807">
        <f>+DX112/DT112*10</f>
        <v>5.3054744586451408</v>
      </c>
      <c r="DX112" s="807">
        <f>SUM(DX9:DX109)</f>
        <v>5.4659449843119727</v>
      </c>
      <c r="DY112" s="807">
        <f>IFERROR(+DZ112/DT112*10,0)</f>
        <v>1.5561166919787858E-2</v>
      </c>
      <c r="DZ112" s="807">
        <f>SUM(DZ9:DZ109)</f>
        <v>1.6031833333333342E-2</v>
      </c>
      <c r="EA112" s="413"/>
      <c r="EB112" s="807">
        <f>IFERROR(+EC112/DT112*10,0)</f>
        <v>5.3210356255649298</v>
      </c>
      <c r="EC112" s="807">
        <f>SUM(EC9:EC109)</f>
        <v>5.4819768176453065</v>
      </c>
      <c r="ED112" s="413"/>
      <c r="EE112" s="807">
        <f>SUM(EE9:EE109)</f>
        <v>105.34936169539698</v>
      </c>
      <c r="EF112" s="413"/>
      <c r="EG112" s="413"/>
      <c r="EH112" s="807">
        <f>+EI112/EE112*10</f>
        <v>5.5056703975545283</v>
      </c>
      <c r="EI112" s="807">
        <f>SUM(EI9:EI109)</f>
        <v>58.001886208761206</v>
      </c>
      <c r="EJ112" s="807">
        <f>IFERROR(+EK112/EE112*10,0)</f>
        <v>2.595663187695875E-2</v>
      </c>
      <c r="EK112" s="807">
        <f>SUM(EK9:EK109)</f>
        <v>0.27345145999999987</v>
      </c>
      <c r="EL112" s="413"/>
      <c r="EM112" s="807">
        <f>IFERROR(+EN112/EE112*10,0)</f>
        <v>5.531627029431486</v>
      </c>
      <c r="EN112" s="807">
        <f>SUM(EN9:EN109)</f>
        <v>58.275337668761203</v>
      </c>
      <c r="EO112" s="810">
        <f t="shared" ref="EO112" si="52">+EN112/EE112*10</f>
        <v>5.531627029431486</v>
      </c>
      <c r="EP112" s="807">
        <f t="shared" ref="EP112" si="53">+EN112/M112*10</f>
        <v>43.166433522144516</v>
      </c>
      <c r="EQ112" s="434"/>
      <c r="ER112" s="434"/>
      <c r="ES112" s="434"/>
      <c r="ET112" s="434"/>
      <c r="EU112" s="434"/>
      <c r="EV112" s="434"/>
      <c r="EW112" s="434"/>
      <c r="EX112" s="434"/>
      <c r="EY112" s="434"/>
      <c r="EZ112" s="434"/>
      <c r="FA112" s="434"/>
      <c r="FB112" s="434"/>
      <c r="FC112" s="399"/>
      <c r="FD112" s="399"/>
      <c r="FE112" s="399"/>
      <c r="FF112" s="399"/>
      <c r="FG112" s="415"/>
      <c r="FH112" s="415"/>
      <c r="FI112" s="415"/>
      <c r="FJ112" s="415"/>
      <c r="FK112" s="415"/>
      <c r="FL112" s="415"/>
      <c r="FM112" s="415"/>
    </row>
    <row r="113" spans="1:169">
      <c r="A113" s="420"/>
      <c r="B113" s="421"/>
      <c r="C113" s="421"/>
      <c r="D113" s="421"/>
      <c r="E113" s="421"/>
      <c r="F113" s="421"/>
      <c r="G113" s="421"/>
      <c r="H113" s="421"/>
      <c r="I113" s="421"/>
      <c r="J113" s="421"/>
      <c r="K113" s="421"/>
      <c r="L113" s="421"/>
      <c r="M113" s="417"/>
      <c r="N113" s="417"/>
      <c r="O113" s="417"/>
      <c r="P113" s="417"/>
      <c r="Q113" s="417"/>
      <c r="R113" s="417"/>
      <c r="S113" s="417"/>
      <c r="T113" s="417"/>
      <c r="U113" s="417"/>
      <c r="V113" s="417"/>
      <c r="W113" s="417"/>
      <c r="X113" s="417"/>
      <c r="Y113" s="417"/>
      <c r="Z113" s="417"/>
      <c r="AA113" s="417"/>
      <c r="AB113" s="417"/>
      <c r="AC113" s="417"/>
      <c r="AD113" s="417"/>
      <c r="AE113" s="417"/>
      <c r="AF113" s="417"/>
      <c r="AG113" s="417"/>
      <c r="AH113" s="417"/>
      <c r="AI113" s="417"/>
      <c r="AJ113" s="417"/>
      <c r="AK113" s="417"/>
      <c r="AL113" s="417"/>
      <c r="AM113" s="417"/>
      <c r="AN113" s="417"/>
      <c r="AO113" s="422"/>
      <c r="AP113" s="417"/>
      <c r="AQ113" s="417"/>
      <c r="AR113" s="417"/>
      <c r="AS113" s="417"/>
      <c r="AT113" s="417"/>
      <c r="AU113" s="417"/>
      <c r="AV113" s="417"/>
      <c r="AW113" s="417"/>
      <c r="AX113" s="417"/>
      <c r="AY113" s="422"/>
      <c r="AZ113" s="417"/>
      <c r="BA113" s="417"/>
      <c r="BB113" s="417"/>
      <c r="BC113" s="417"/>
      <c r="BD113" s="417"/>
      <c r="BE113" s="417"/>
      <c r="BF113" s="417"/>
      <c r="BG113" s="417"/>
      <c r="BH113" s="417"/>
      <c r="BI113" s="422"/>
      <c r="BJ113" s="417"/>
      <c r="BK113" s="417"/>
      <c r="BL113" s="417"/>
      <c r="BM113" s="417"/>
      <c r="BN113" s="417"/>
      <c r="BO113" s="417"/>
      <c r="BP113" s="417"/>
      <c r="BQ113" s="417"/>
      <c r="BR113" s="417"/>
      <c r="BS113" s="417"/>
      <c r="BT113" s="417"/>
      <c r="BU113" s="417"/>
      <c r="BV113" s="417"/>
      <c r="BW113" s="417"/>
      <c r="BX113" s="417"/>
      <c r="BY113" s="417"/>
      <c r="BZ113" s="417"/>
      <c r="CA113" s="417"/>
      <c r="CB113" s="417"/>
      <c r="CC113" s="417"/>
      <c r="CD113" s="417"/>
      <c r="CE113" s="417"/>
      <c r="CF113" s="417"/>
      <c r="CG113" s="417"/>
      <c r="CH113" s="417"/>
      <c r="CI113" s="417"/>
      <c r="CJ113" s="417"/>
      <c r="CK113" s="417"/>
      <c r="CL113" s="417"/>
      <c r="CM113" s="422"/>
      <c r="CN113" s="417"/>
      <c r="CO113" s="417"/>
      <c r="CP113" s="417"/>
      <c r="CQ113" s="417"/>
      <c r="CR113" s="417"/>
      <c r="CS113" s="417"/>
      <c r="CT113" s="417"/>
      <c r="CU113" s="417"/>
      <c r="CV113" s="417"/>
      <c r="CW113" s="422"/>
      <c r="CX113" s="417"/>
      <c r="CY113" s="417"/>
      <c r="CZ113" s="417"/>
      <c r="DA113" s="417"/>
      <c r="DB113" s="417"/>
      <c r="DC113" s="417"/>
      <c r="DD113" s="417"/>
      <c r="DE113" s="417"/>
      <c r="DF113" s="417"/>
      <c r="DG113" s="422"/>
      <c r="DH113" s="417"/>
      <c r="DI113" s="417"/>
      <c r="DJ113" s="417"/>
      <c r="DK113" s="417"/>
      <c r="DL113" s="417"/>
      <c r="DM113" s="417"/>
      <c r="DN113" s="417"/>
      <c r="DO113" s="417"/>
      <c r="DP113" s="417"/>
      <c r="DQ113" s="422"/>
      <c r="DR113" s="417"/>
      <c r="DS113" s="417"/>
      <c r="DT113" s="417"/>
      <c r="DU113" s="417"/>
      <c r="DV113" s="417"/>
      <c r="DW113" s="417"/>
      <c r="DX113" s="417"/>
      <c r="DY113" s="417"/>
      <c r="DZ113" s="417"/>
      <c r="EA113" s="417"/>
      <c r="EB113" s="417"/>
      <c r="EC113" s="417"/>
      <c r="ED113" s="417"/>
      <c r="EE113" s="935">
        <f>F1_PP_Annual!J706-EE112</f>
        <v>0</v>
      </c>
      <c r="EF113" s="417"/>
      <c r="EG113" s="417"/>
      <c r="EH113" s="417"/>
      <c r="EI113" s="417"/>
      <c r="EJ113" s="417"/>
      <c r="EK113" s="417"/>
      <c r="EL113" s="417"/>
      <c r="EM113" s="417"/>
      <c r="EN113" s="454"/>
      <c r="EO113" s="455"/>
      <c r="EP113" s="413"/>
      <c r="EQ113" s="434"/>
      <c r="ER113" s="434"/>
      <c r="ES113" s="434"/>
      <c r="ET113" s="434"/>
      <c r="EU113" s="434"/>
      <c r="EV113" s="434"/>
      <c r="EW113" s="434"/>
      <c r="EX113" s="434"/>
      <c r="EY113" s="434"/>
      <c r="EZ113" s="434"/>
      <c r="FA113" s="434"/>
      <c r="FB113" s="434"/>
      <c r="FC113" s="399"/>
      <c r="FD113" s="399"/>
      <c r="FE113" s="399"/>
      <c r="FF113" s="399"/>
      <c r="FG113" s="423"/>
      <c r="FH113" s="423"/>
      <c r="FI113" s="423"/>
      <c r="FJ113" s="424"/>
      <c r="FK113" s="423"/>
      <c r="FL113" s="423"/>
      <c r="FM113" s="423"/>
    </row>
    <row r="114" spans="1:169">
      <c r="A114" s="432"/>
      <c r="B114" s="451" t="s">
        <v>1230</v>
      </c>
      <c r="C114" s="456"/>
      <c r="D114" s="456"/>
      <c r="E114" s="456"/>
      <c r="F114" s="456"/>
      <c r="G114" s="456"/>
      <c r="H114" s="456"/>
      <c r="I114" s="456"/>
      <c r="J114" s="456"/>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c r="AI114" s="456"/>
      <c r="AJ114" s="456"/>
      <c r="AK114" s="456"/>
      <c r="AL114" s="456"/>
      <c r="AM114" s="456"/>
      <c r="AN114" s="456"/>
      <c r="AO114" s="456"/>
      <c r="AP114" s="456"/>
      <c r="AQ114" s="456"/>
      <c r="AR114" s="456"/>
      <c r="AS114" s="456"/>
      <c r="AT114" s="456"/>
      <c r="AU114" s="456"/>
      <c r="AV114" s="456"/>
      <c r="AW114" s="456"/>
      <c r="AX114" s="456"/>
      <c r="AY114" s="456"/>
      <c r="AZ114" s="456"/>
      <c r="BA114" s="456"/>
      <c r="BB114" s="456"/>
      <c r="BC114" s="456"/>
      <c r="BD114" s="456"/>
      <c r="BE114" s="456"/>
      <c r="BF114" s="456"/>
      <c r="BG114" s="456"/>
      <c r="BH114" s="456"/>
      <c r="BI114" s="456"/>
      <c r="BJ114" s="456"/>
      <c r="BK114" s="456"/>
      <c r="BL114" s="456"/>
      <c r="BM114" s="456"/>
      <c r="BN114" s="456"/>
      <c r="BO114" s="456"/>
      <c r="BP114" s="456"/>
      <c r="BQ114" s="456"/>
      <c r="BR114" s="456"/>
      <c r="BS114" s="456"/>
      <c r="BT114" s="456"/>
      <c r="BU114" s="456"/>
      <c r="BV114" s="456"/>
      <c r="BW114" s="456"/>
      <c r="BX114" s="456"/>
      <c r="BY114" s="456"/>
      <c r="BZ114" s="456"/>
      <c r="CA114" s="456"/>
      <c r="CB114" s="456"/>
      <c r="CC114" s="456"/>
      <c r="CD114" s="456"/>
      <c r="CE114" s="456"/>
      <c r="CF114" s="456"/>
      <c r="CG114" s="456"/>
      <c r="CH114" s="456"/>
      <c r="CI114" s="456"/>
      <c r="CJ114" s="456"/>
      <c r="CK114" s="456"/>
      <c r="CL114" s="456"/>
      <c r="CM114" s="456"/>
      <c r="CN114" s="456"/>
      <c r="CO114" s="456"/>
      <c r="CP114" s="456"/>
      <c r="CQ114" s="456"/>
      <c r="CR114" s="456"/>
      <c r="CS114" s="456"/>
      <c r="CT114" s="456"/>
      <c r="CU114" s="456"/>
      <c r="CV114" s="456"/>
      <c r="CW114" s="456"/>
      <c r="CX114" s="456"/>
      <c r="CY114" s="456"/>
      <c r="CZ114" s="456"/>
      <c r="DA114" s="456"/>
      <c r="DB114" s="456"/>
      <c r="DC114" s="456"/>
      <c r="DD114" s="456"/>
      <c r="DE114" s="456"/>
      <c r="DF114" s="456"/>
      <c r="DG114" s="456"/>
      <c r="DH114" s="456"/>
      <c r="DI114" s="456"/>
      <c r="DJ114" s="456"/>
      <c r="DK114" s="456"/>
      <c r="DL114" s="456"/>
      <c r="DM114" s="456"/>
      <c r="DN114" s="456"/>
      <c r="DO114" s="456"/>
      <c r="DP114" s="456"/>
      <c r="DQ114" s="456"/>
      <c r="DR114" s="456"/>
      <c r="DS114" s="456"/>
      <c r="DT114" s="456"/>
      <c r="DU114" s="456"/>
      <c r="DV114" s="456"/>
      <c r="DW114" s="456"/>
      <c r="DX114" s="456"/>
      <c r="DY114" s="456"/>
      <c r="DZ114" s="456"/>
      <c r="EA114" s="456"/>
      <c r="EB114" s="456"/>
      <c r="EC114" s="456"/>
      <c r="ED114" s="456"/>
      <c r="EE114" s="456"/>
      <c r="EF114" s="456"/>
      <c r="EG114" s="456"/>
      <c r="EH114" s="456"/>
      <c r="EI114" s="456"/>
      <c r="EJ114" s="456"/>
      <c r="EK114" s="456"/>
      <c r="EL114" s="456"/>
      <c r="EM114" s="456"/>
      <c r="EN114" s="408"/>
      <c r="EO114" s="408"/>
      <c r="EP114" s="408"/>
    </row>
    <row r="115" spans="1:169">
      <c r="A115" s="432"/>
      <c r="B115" s="451" t="s">
        <v>1218</v>
      </c>
      <c r="C115" s="456"/>
      <c r="D115" s="456"/>
      <c r="E115" s="456"/>
      <c r="F115" s="456"/>
      <c r="G115" s="456"/>
      <c r="H115" s="456"/>
      <c r="I115" s="456"/>
      <c r="J115" s="456"/>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56"/>
      <c r="AY115" s="456"/>
      <c r="AZ115" s="456"/>
      <c r="BA115" s="456"/>
      <c r="BB115" s="456"/>
      <c r="BC115" s="456"/>
      <c r="BD115" s="456"/>
      <c r="BE115" s="456"/>
      <c r="BF115" s="456"/>
      <c r="BG115" s="456"/>
      <c r="BH115" s="456"/>
      <c r="BI115" s="456"/>
      <c r="BJ115" s="456"/>
      <c r="BK115" s="456"/>
      <c r="BL115" s="456"/>
      <c r="BM115" s="456"/>
      <c r="BN115" s="456"/>
      <c r="BO115" s="456"/>
      <c r="BP115" s="456"/>
      <c r="BQ115" s="456"/>
      <c r="BR115" s="456"/>
      <c r="BS115" s="456"/>
      <c r="BT115" s="456"/>
      <c r="BU115" s="456"/>
      <c r="BV115" s="456"/>
      <c r="BW115" s="456"/>
      <c r="BX115" s="456"/>
      <c r="BY115" s="456"/>
      <c r="BZ115" s="456"/>
      <c r="CA115" s="456"/>
      <c r="CB115" s="456"/>
      <c r="CC115" s="456"/>
      <c r="CD115" s="456"/>
      <c r="CE115" s="456"/>
      <c r="CF115" s="456"/>
      <c r="CG115" s="456"/>
      <c r="CH115" s="456"/>
      <c r="CI115" s="456"/>
      <c r="CJ115" s="456"/>
      <c r="CK115" s="456"/>
      <c r="CL115" s="456"/>
      <c r="CM115" s="456"/>
      <c r="CN115" s="456"/>
      <c r="CO115" s="456"/>
      <c r="CP115" s="456"/>
      <c r="CQ115" s="456"/>
      <c r="CR115" s="456"/>
      <c r="CS115" s="456"/>
      <c r="CT115" s="456"/>
      <c r="CU115" s="456"/>
      <c r="CV115" s="456"/>
      <c r="CW115" s="456"/>
      <c r="CX115" s="456"/>
      <c r="CY115" s="456"/>
      <c r="CZ115" s="456"/>
      <c r="DA115" s="456"/>
      <c r="DB115" s="456"/>
      <c r="DC115" s="456"/>
      <c r="DD115" s="456"/>
      <c r="DE115" s="456"/>
      <c r="DF115" s="456"/>
      <c r="DG115" s="456"/>
      <c r="DH115" s="456"/>
      <c r="DI115" s="456"/>
      <c r="DJ115" s="456"/>
      <c r="DK115" s="456"/>
      <c r="DL115" s="456"/>
      <c r="DM115" s="456"/>
      <c r="DN115" s="456"/>
      <c r="DO115" s="456"/>
      <c r="DP115" s="456"/>
      <c r="DQ115" s="456"/>
      <c r="DR115" s="456"/>
      <c r="DS115" s="456"/>
      <c r="DT115" s="456"/>
      <c r="DU115" s="456"/>
      <c r="DV115" s="456"/>
      <c r="DW115" s="456"/>
      <c r="DX115" s="456"/>
      <c r="DY115" s="456"/>
      <c r="DZ115" s="456"/>
      <c r="EA115" s="456"/>
      <c r="EB115" s="456"/>
      <c r="EC115" s="456"/>
      <c r="ED115" s="456"/>
      <c r="EE115" s="456"/>
      <c r="EF115" s="456"/>
      <c r="EG115" s="456"/>
      <c r="EH115" s="456"/>
      <c r="EI115" s="456"/>
      <c r="EJ115" s="456"/>
      <c r="EK115" s="456"/>
      <c r="EL115" s="456"/>
      <c r="EM115" s="456"/>
      <c r="EN115" s="408"/>
      <c r="EO115" s="408"/>
      <c r="EP115" s="408"/>
    </row>
    <row r="116" spans="1:169">
      <c r="A116" s="432"/>
      <c r="B116" s="438" t="s">
        <v>1219</v>
      </c>
      <c r="C116" s="439"/>
      <c r="D116" s="439"/>
      <c r="E116" s="439"/>
      <c r="F116" s="1764"/>
      <c r="G116" s="1764"/>
      <c r="H116" s="1764"/>
      <c r="I116" s="1764"/>
      <c r="J116" s="1764"/>
      <c r="K116" s="1764"/>
      <c r="L116" s="1764"/>
      <c r="M116" s="1764"/>
      <c r="N116" s="1764"/>
      <c r="O116" s="1764"/>
      <c r="P116" s="1764"/>
      <c r="Q116" s="1764"/>
      <c r="R116" s="1764"/>
      <c r="S116" s="1764"/>
      <c r="T116" s="1764"/>
      <c r="U116" s="1764"/>
      <c r="V116" s="1764"/>
      <c r="W116" s="1764"/>
      <c r="X116" s="1764"/>
      <c r="Y116" s="1764"/>
      <c r="Z116" s="1764"/>
      <c r="AA116" s="1764"/>
      <c r="AB116" s="1764"/>
      <c r="AC116" s="1764"/>
      <c r="AD116" s="1764"/>
      <c r="AE116" s="1764"/>
      <c r="AF116" s="1764"/>
      <c r="AG116" s="1764"/>
      <c r="AH116" s="1764"/>
      <c r="AI116" s="1764"/>
      <c r="AJ116" s="1764"/>
      <c r="AK116" s="1764"/>
      <c r="AL116" s="1764"/>
      <c r="AM116" s="1764"/>
      <c r="AN116" s="1764"/>
      <c r="AO116" s="1764"/>
      <c r="AP116" s="1764"/>
      <c r="AQ116" s="1764"/>
      <c r="AR116" s="1764"/>
      <c r="AS116" s="1764"/>
      <c r="AT116" s="1764"/>
      <c r="AU116" s="1764"/>
      <c r="AV116" s="1764"/>
      <c r="AW116" s="1764"/>
      <c r="AX116" s="1764"/>
      <c r="AY116" s="1764"/>
      <c r="AZ116" s="1764"/>
      <c r="BA116" s="1764"/>
      <c r="BB116" s="1764"/>
      <c r="BC116" s="1764"/>
      <c r="BD116" s="1764"/>
      <c r="BE116" s="1764"/>
      <c r="BF116" s="1764"/>
      <c r="BG116" s="1764"/>
      <c r="BH116" s="1764"/>
      <c r="BI116" s="1764"/>
      <c r="BJ116" s="1764"/>
      <c r="BK116" s="1764"/>
      <c r="BL116" s="1764"/>
      <c r="BM116" s="1764"/>
      <c r="BN116" s="1764"/>
      <c r="BO116" s="1764"/>
      <c r="BP116" s="1764"/>
      <c r="BQ116" s="1764"/>
      <c r="BR116" s="1764"/>
      <c r="BS116" s="1764"/>
      <c r="BT116" s="1764"/>
      <c r="BU116" s="1764"/>
      <c r="BV116" s="1764"/>
      <c r="BW116" s="1764"/>
      <c r="BX116" s="1764"/>
      <c r="BY116" s="1764"/>
      <c r="BZ116" s="1764"/>
      <c r="CA116" s="1764"/>
      <c r="CB116" s="1764"/>
      <c r="CC116" s="1764"/>
      <c r="CD116" s="1764"/>
      <c r="CE116" s="1764"/>
      <c r="CF116" s="1764"/>
      <c r="CG116" s="1764"/>
      <c r="CH116" s="1764"/>
      <c r="CI116" s="1764"/>
      <c r="CJ116" s="1764"/>
      <c r="CK116" s="1764"/>
      <c r="CL116" s="1764"/>
      <c r="CM116" s="1764"/>
      <c r="CN116" s="1764"/>
      <c r="CO116" s="1764"/>
      <c r="CP116" s="1764"/>
      <c r="CQ116" s="1764"/>
      <c r="CR116" s="1764"/>
      <c r="CS116" s="1764"/>
      <c r="CT116" s="1764"/>
      <c r="CU116" s="1764"/>
      <c r="CV116" s="1764"/>
      <c r="CW116" s="1764"/>
      <c r="CX116" s="1764"/>
      <c r="CY116" s="1764"/>
      <c r="CZ116" s="1764"/>
      <c r="DA116" s="1764"/>
      <c r="DB116" s="1764"/>
      <c r="DC116" s="1764"/>
      <c r="DD116" s="1764"/>
      <c r="DE116" s="1764"/>
      <c r="DF116" s="1764"/>
      <c r="DG116" s="1764"/>
      <c r="DH116" s="1764"/>
      <c r="DI116" s="1764"/>
      <c r="DJ116" s="1764"/>
      <c r="DK116" s="1764"/>
      <c r="DL116" s="1764"/>
      <c r="DM116" s="1764"/>
      <c r="DN116" s="1764"/>
      <c r="DO116" s="1764"/>
      <c r="DP116" s="1764"/>
      <c r="DQ116" s="1764"/>
      <c r="DR116" s="1764"/>
      <c r="DS116" s="1764"/>
      <c r="DT116" s="1764"/>
      <c r="DU116" s="1764"/>
      <c r="DV116" s="1764"/>
      <c r="DW116" s="1764"/>
      <c r="DX116" s="1764"/>
      <c r="DY116" s="1764"/>
      <c r="DZ116" s="1764"/>
      <c r="EA116" s="1764"/>
      <c r="EB116" s="1764"/>
      <c r="EC116" s="1764"/>
      <c r="ED116" s="1764"/>
      <c r="EE116" s="1764"/>
      <c r="EF116" s="1764"/>
      <c r="EG116" s="1764"/>
      <c r="EH116" s="1764"/>
      <c r="EI116" s="1764"/>
      <c r="EJ116" s="1764"/>
      <c r="EK116" s="1764"/>
      <c r="EL116" s="1764"/>
      <c r="EM116" s="1764"/>
      <c r="EN116" s="1764"/>
      <c r="EO116" s="1764"/>
      <c r="EP116" s="1765"/>
    </row>
    <row r="117" spans="1:169">
      <c r="A117" s="432"/>
      <c r="B117" s="451" t="s">
        <v>1231</v>
      </c>
      <c r="C117" s="456"/>
      <c r="D117" s="456"/>
      <c r="E117" s="456"/>
      <c r="F117" s="456"/>
      <c r="G117" s="456"/>
      <c r="H117" s="456"/>
      <c r="I117" s="456"/>
      <c r="J117" s="456"/>
      <c r="K117" s="456"/>
      <c r="L117" s="456"/>
      <c r="M117" s="456"/>
      <c r="N117" s="456"/>
      <c r="O117" s="456"/>
      <c r="P117" s="456"/>
      <c r="Q117" s="456"/>
      <c r="R117" s="456"/>
      <c r="S117" s="456"/>
      <c r="T117" s="456"/>
      <c r="U117" s="456"/>
      <c r="V117" s="456"/>
      <c r="W117" s="456"/>
      <c r="X117" s="456"/>
      <c r="Y117" s="456"/>
      <c r="Z117" s="456"/>
      <c r="AA117" s="456"/>
      <c r="AB117" s="456"/>
      <c r="AC117" s="456"/>
      <c r="AD117" s="456"/>
      <c r="AE117" s="456"/>
      <c r="AF117" s="456"/>
      <c r="AG117" s="456"/>
      <c r="AH117" s="456"/>
      <c r="AI117" s="456"/>
      <c r="AJ117" s="456"/>
      <c r="AK117" s="456"/>
      <c r="AL117" s="456"/>
      <c r="AM117" s="456"/>
      <c r="AN117" s="456"/>
      <c r="AO117" s="456"/>
      <c r="AP117" s="456"/>
      <c r="AQ117" s="456"/>
      <c r="AR117" s="456"/>
      <c r="AS117" s="456"/>
      <c r="AT117" s="456"/>
      <c r="AU117" s="456"/>
      <c r="AV117" s="456"/>
      <c r="AW117" s="456"/>
      <c r="AX117" s="456"/>
      <c r="AY117" s="456"/>
      <c r="AZ117" s="456"/>
      <c r="BA117" s="456"/>
      <c r="BB117" s="456"/>
      <c r="BC117" s="456"/>
      <c r="BD117" s="456"/>
      <c r="BE117" s="456"/>
      <c r="BF117" s="456"/>
      <c r="BG117" s="456"/>
      <c r="BH117" s="456"/>
      <c r="BI117" s="456"/>
      <c r="BJ117" s="456"/>
      <c r="BK117" s="456"/>
      <c r="BL117" s="456"/>
      <c r="BM117" s="456"/>
      <c r="BN117" s="456"/>
      <c r="BO117" s="456"/>
      <c r="BP117" s="456"/>
      <c r="BQ117" s="456"/>
      <c r="BR117" s="456"/>
      <c r="BS117" s="456"/>
      <c r="BT117" s="456"/>
      <c r="BU117" s="456"/>
      <c r="BV117" s="456"/>
      <c r="BW117" s="456"/>
      <c r="BX117" s="456"/>
      <c r="BY117" s="456"/>
      <c r="BZ117" s="456"/>
      <c r="CA117" s="456"/>
      <c r="CB117" s="456"/>
      <c r="CC117" s="456"/>
      <c r="CD117" s="456"/>
      <c r="CE117" s="456"/>
      <c r="CF117" s="456"/>
      <c r="CG117" s="456"/>
      <c r="CH117" s="456"/>
      <c r="CI117" s="456"/>
      <c r="CJ117" s="456"/>
      <c r="CK117" s="456"/>
      <c r="CL117" s="456"/>
      <c r="CM117" s="456"/>
      <c r="CN117" s="456"/>
      <c r="CO117" s="456"/>
      <c r="CP117" s="456"/>
      <c r="CQ117" s="456"/>
      <c r="CR117" s="456"/>
      <c r="CS117" s="456"/>
      <c r="CT117" s="456"/>
      <c r="CU117" s="456"/>
      <c r="CV117" s="456"/>
      <c r="CW117" s="456"/>
      <c r="CX117" s="456"/>
      <c r="CY117" s="456"/>
      <c r="CZ117" s="456"/>
      <c r="DA117" s="456"/>
      <c r="DB117" s="456"/>
      <c r="DC117" s="456"/>
      <c r="DD117" s="456"/>
      <c r="DE117" s="456"/>
      <c r="DF117" s="456"/>
      <c r="DG117" s="456"/>
      <c r="DH117" s="456"/>
      <c r="DI117" s="456"/>
      <c r="DJ117" s="456"/>
      <c r="DK117" s="456"/>
      <c r="DL117" s="456"/>
      <c r="DM117" s="456"/>
      <c r="DN117" s="456"/>
      <c r="DO117" s="456"/>
      <c r="DP117" s="456"/>
      <c r="DQ117" s="456"/>
      <c r="DR117" s="456"/>
      <c r="DS117" s="456"/>
      <c r="DT117" s="456"/>
      <c r="DU117" s="456"/>
      <c r="DV117" s="456"/>
      <c r="DW117" s="456"/>
      <c r="DX117" s="456"/>
      <c r="DY117" s="456"/>
      <c r="DZ117" s="456"/>
      <c r="EA117" s="456"/>
      <c r="EB117" s="456"/>
      <c r="EC117" s="456"/>
      <c r="ED117" s="456"/>
      <c r="EE117" s="456"/>
      <c r="EF117" s="456"/>
      <c r="EG117" s="456"/>
      <c r="EH117" s="456"/>
      <c r="EI117" s="456"/>
      <c r="EJ117" s="456"/>
      <c r="EK117" s="456"/>
      <c r="EL117" s="456"/>
      <c r="EM117" s="456"/>
      <c r="EN117" s="408"/>
      <c r="EO117" s="408"/>
      <c r="EP117" s="408"/>
    </row>
    <row r="118" spans="1:169">
      <c r="A118" s="432"/>
      <c r="B118" s="451" t="s">
        <v>1243</v>
      </c>
      <c r="C118" s="456"/>
      <c r="D118" s="456"/>
      <c r="E118" s="456"/>
      <c r="F118" s="456"/>
      <c r="G118" s="456"/>
      <c r="H118" s="456"/>
      <c r="I118" s="456"/>
      <c r="J118" s="456"/>
      <c r="K118" s="456"/>
      <c r="L118" s="456"/>
      <c r="M118" s="456"/>
      <c r="N118" s="456"/>
      <c r="O118" s="456"/>
      <c r="P118" s="456"/>
      <c r="Q118" s="456"/>
      <c r="R118" s="456"/>
      <c r="S118" s="456"/>
      <c r="T118" s="456"/>
      <c r="U118" s="456"/>
      <c r="V118" s="456"/>
      <c r="W118" s="456"/>
      <c r="X118" s="456"/>
      <c r="Y118" s="456"/>
      <c r="Z118" s="456"/>
      <c r="AA118" s="456"/>
      <c r="AB118" s="456"/>
      <c r="AC118" s="456"/>
      <c r="AD118" s="456"/>
      <c r="AE118" s="456"/>
      <c r="AF118" s="456"/>
      <c r="AG118" s="456"/>
      <c r="AH118" s="456"/>
      <c r="AI118" s="456"/>
      <c r="AJ118" s="456"/>
      <c r="AK118" s="456"/>
      <c r="AL118" s="456"/>
      <c r="AM118" s="456"/>
      <c r="AN118" s="456"/>
      <c r="AO118" s="456"/>
      <c r="AP118" s="456"/>
      <c r="AQ118" s="456"/>
      <c r="AR118" s="456"/>
      <c r="AS118" s="456"/>
      <c r="AT118" s="456"/>
      <c r="AU118" s="456"/>
      <c r="AV118" s="456"/>
      <c r="AW118" s="456"/>
      <c r="AX118" s="456"/>
      <c r="AY118" s="456"/>
      <c r="AZ118" s="456"/>
      <c r="BA118" s="456"/>
      <c r="BB118" s="456"/>
      <c r="BC118" s="456"/>
      <c r="BD118" s="456"/>
      <c r="BE118" s="456"/>
      <c r="BF118" s="456"/>
      <c r="BG118" s="456"/>
      <c r="BH118" s="456"/>
      <c r="BI118" s="456"/>
      <c r="BJ118" s="456"/>
      <c r="BK118" s="456"/>
      <c r="BL118" s="456"/>
      <c r="BM118" s="456"/>
      <c r="BN118" s="456"/>
      <c r="BO118" s="456"/>
      <c r="BP118" s="456"/>
      <c r="BQ118" s="456"/>
      <c r="BR118" s="456"/>
      <c r="BS118" s="456"/>
      <c r="BT118" s="456"/>
      <c r="BU118" s="456"/>
      <c r="BV118" s="456"/>
      <c r="BW118" s="456"/>
      <c r="BX118" s="456"/>
      <c r="BY118" s="456"/>
      <c r="BZ118" s="456"/>
      <c r="CA118" s="456"/>
      <c r="CB118" s="456"/>
      <c r="CC118" s="456"/>
      <c r="CD118" s="456"/>
      <c r="CE118" s="456"/>
      <c r="CF118" s="456"/>
      <c r="CG118" s="456"/>
      <c r="CH118" s="456"/>
      <c r="CI118" s="456"/>
      <c r="CJ118" s="456"/>
      <c r="CK118" s="456"/>
      <c r="CL118" s="456"/>
      <c r="CM118" s="456"/>
      <c r="CN118" s="456"/>
      <c r="CO118" s="456"/>
      <c r="CP118" s="456"/>
      <c r="CQ118" s="456"/>
      <c r="CR118" s="456"/>
      <c r="CS118" s="456"/>
      <c r="CT118" s="456"/>
      <c r="CU118" s="456"/>
      <c r="CV118" s="456"/>
      <c r="CW118" s="456"/>
      <c r="CX118" s="456"/>
      <c r="CY118" s="456"/>
      <c r="CZ118" s="456"/>
      <c r="DA118" s="456"/>
      <c r="DB118" s="456"/>
      <c r="DC118" s="456"/>
      <c r="DD118" s="456"/>
      <c r="DE118" s="456"/>
      <c r="DF118" s="456"/>
      <c r="DG118" s="456"/>
      <c r="DH118" s="456"/>
      <c r="DI118" s="456"/>
      <c r="DJ118" s="456"/>
      <c r="DK118" s="456"/>
      <c r="DL118" s="456"/>
      <c r="DM118" s="456"/>
      <c r="DN118" s="456"/>
      <c r="DO118" s="456"/>
      <c r="DP118" s="456"/>
      <c r="DQ118" s="456"/>
      <c r="DR118" s="456"/>
      <c r="DS118" s="456"/>
      <c r="DT118" s="456"/>
      <c r="DU118" s="456"/>
      <c r="DV118" s="456"/>
      <c r="DW118" s="456"/>
      <c r="DX118" s="456"/>
      <c r="DY118" s="456"/>
      <c r="DZ118" s="456"/>
      <c r="EA118" s="456"/>
      <c r="EB118" s="456"/>
      <c r="EC118" s="456"/>
      <c r="ED118" s="456"/>
      <c r="EE118" s="456"/>
      <c r="EF118" s="456"/>
      <c r="EG118" s="456"/>
      <c r="EH118" s="456"/>
      <c r="EI118" s="456"/>
      <c r="EJ118" s="456"/>
      <c r="EK118" s="456"/>
      <c r="EL118" s="456"/>
      <c r="EM118" s="456"/>
      <c r="EN118" s="408"/>
      <c r="EO118" s="408"/>
      <c r="EP118" s="408"/>
    </row>
    <row r="119" spans="1:169">
      <c r="B119" s="430"/>
      <c r="C119" s="430"/>
      <c r="D119" s="430"/>
      <c r="E119" s="430"/>
      <c r="F119" s="430"/>
      <c r="G119" s="430"/>
      <c r="H119" s="430"/>
      <c r="I119" s="430"/>
      <c r="J119" s="430"/>
      <c r="K119" s="430"/>
      <c r="L119" s="430"/>
      <c r="M119" s="430"/>
      <c r="N119" s="430"/>
      <c r="O119" s="430"/>
      <c r="P119" s="430"/>
      <c r="Q119" s="430"/>
      <c r="R119" s="430"/>
      <c r="S119" s="430"/>
      <c r="T119" s="430"/>
      <c r="U119" s="430"/>
      <c r="V119" s="430"/>
      <c r="W119" s="430"/>
      <c r="X119" s="430"/>
      <c r="Y119" s="430"/>
      <c r="Z119" s="430"/>
      <c r="AA119" s="430"/>
      <c r="AB119" s="430"/>
      <c r="AC119" s="430"/>
      <c r="AD119" s="430"/>
      <c r="AE119" s="430"/>
      <c r="AF119" s="430"/>
      <c r="AG119" s="430"/>
      <c r="AH119" s="430"/>
      <c r="AI119" s="430"/>
      <c r="AJ119" s="430"/>
      <c r="AK119" s="430"/>
      <c r="AL119" s="430"/>
      <c r="AM119" s="430"/>
      <c r="AN119" s="430"/>
      <c r="AO119" s="431"/>
      <c r="AP119" s="430"/>
      <c r="AQ119" s="430"/>
      <c r="AR119" s="430"/>
      <c r="AS119" s="430"/>
      <c r="AT119" s="430"/>
      <c r="AU119" s="430"/>
      <c r="AV119" s="430"/>
      <c r="AW119" s="430"/>
      <c r="AX119" s="430"/>
      <c r="AY119" s="431"/>
      <c r="AZ119" s="430"/>
      <c r="BA119" s="430"/>
      <c r="BB119" s="430"/>
      <c r="BC119" s="430"/>
      <c r="BD119" s="430"/>
      <c r="BE119" s="430"/>
      <c r="BF119" s="430"/>
      <c r="BG119" s="430"/>
      <c r="BH119" s="430"/>
      <c r="BI119" s="431"/>
      <c r="BJ119" s="430"/>
      <c r="BK119" s="430"/>
      <c r="BL119" s="430"/>
      <c r="BM119" s="430"/>
      <c r="BN119" s="430"/>
      <c r="BO119" s="430"/>
      <c r="BP119" s="430"/>
      <c r="BQ119" s="430"/>
      <c r="BR119" s="430"/>
      <c r="BS119" s="430"/>
      <c r="BT119" s="430"/>
      <c r="BU119" s="430"/>
      <c r="BV119" s="430"/>
      <c r="BW119" s="430"/>
      <c r="BX119" s="430"/>
      <c r="BY119" s="430"/>
      <c r="BZ119" s="430"/>
      <c r="CA119" s="430"/>
      <c r="CB119" s="430"/>
      <c r="CC119" s="430"/>
      <c r="CD119" s="430"/>
      <c r="CE119" s="430"/>
      <c r="CF119" s="430"/>
      <c r="CG119" s="430"/>
      <c r="CH119" s="430"/>
      <c r="CI119" s="430"/>
      <c r="CJ119" s="430"/>
      <c r="CK119" s="430"/>
      <c r="CL119" s="430"/>
      <c r="CM119" s="431"/>
      <c r="CN119" s="430"/>
      <c r="CO119" s="430"/>
      <c r="CP119" s="430"/>
      <c r="CQ119" s="430"/>
      <c r="CR119" s="430"/>
      <c r="CS119" s="430"/>
      <c r="CT119" s="430"/>
      <c r="CU119" s="430"/>
      <c r="CV119" s="430"/>
      <c r="CW119" s="431"/>
      <c r="CX119" s="430"/>
      <c r="CY119" s="430"/>
      <c r="CZ119" s="430"/>
      <c r="DA119" s="430"/>
      <c r="DB119" s="430"/>
      <c r="DC119" s="430"/>
      <c r="DD119" s="430"/>
      <c r="DE119" s="430"/>
      <c r="DF119" s="430"/>
      <c r="DG119" s="431"/>
      <c r="DH119" s="430"/>
      <c r="DI119" s="430"/>
      <c r="DJ119" s="430"/>
      <c r="DK119" s="430"/>
      <c r="DL119" s="430"/>
      <c r="DM119" s="430"/>
      <c r="DN119" s="430"/>
      <c r="DO119" s="430"/>
      <c r="DP119" s="430"/>
      <c r="DQ119" s="431"/>
      <c r="DR119" s="430"/>
      <c r="DS119" s="430"/>
      <c r="DT119" s="430"/>
      <c r="DU119" s="430"/>
      <c r="DV119" s="430"/>
      <c r="DW119" s="430"/>
      <c r="DX119" s="430"/>
      <c r="DY119" s="430"/>
      <c r="DZ119" s="430"/>
      <c r="EA119" s="430"/>
      <c r="EB119" s="430"/>
      <c r="EC119" s="430"/>
      <c r="ED119" s="430"/>
      <c r="EE119" s="430"/>
      <c r="EF119" s="430"/>
      <c r="EG119" s="430"/>
      <c r="EH119" s="430"/>
      <c r="EI119" s="430"/>
      <c r="EJ119" s="430"/>
      <c r="EK119" s="430"/>
      <c r="EL119" s="430"/>
      <c r="EM119" s="430"/>
    </row>
    <row r="120" spans="1:169">
      <c r="B120" s="403" t="s">
        <v>1204</v>
      </c>
    </row>
    <row r="121" spans="1:169">
      <c r="B121" s="1774" t="s">
        <v>1232</v>
      </c>
      <c r="C121" s="1775"/>
      <c r="D121" s="1776"/>
      <c r="E121" s="435"/>
      <c r="F121" s="435"/>
    </row>
    <row r="122" spans="1:169" ht="57">
      <c r="B122" s="426" t="s">
        <v>1205</v>
      </c>
      <c r="C122" s="427" t="s">
        <v>1206</v>
      </c>
      <c r="D122" s="427" t="s">
        <v>1220</v>
      </c>
      <c r="E122" s="435"/>
      <c r="F122" s="435"/>
    </row>
    <row r="123" spans="1:169">
      <c r="B123" s="426" t="s">
        <v>1207</v>
      </c>
      <c r="C123" s="428">
        <f>+N112</f>
        <v>7.3275577548444772</v>
      </c>
      <c r="D123" s="428">
        <f>+W112</f>
        <v>4.3868547974657979</v>
      </c>
      <c r="E123" s="436"/>
      <c r="F123" s="436"/>
    </row>
    <row r="124" spans="1:169">
      <c r="B124" s="426" t="s">
        <v>167</v>
      </c>
      <c r="C124" s="428">
        <f>+X112</f>
        <v>7.5718096800059609</v>
      </c>
      <c r="D124" s="428">
        <f>+AG112</f>
        <v>4.5296695129368807</v>
      </c>
      <c r="F124" s="436"/>
    </row>
    <row r="125" spans="1:169">
      <c r="B125" s="426" t="s">
        <v>168</v>
      </c>
      <c r="C125" s="428">
        <f>+AH112</f>
        <v>7.3275577548444772</v>
      </c>
      <c r="D125" s="428">
        <f>+AQ112</f>
        <v>4.3856747974657972</v>
      </c>
      <c r="F125" s="436"/>
    </row>
    <row r="126" spans="1:169">
      <c r="B126" s="426" t="s">
        <v>169</v>
      </c>
      <c r="C126" s="428">
        <f>+AR112</f>
        <v>8.5273517819645512</v>
      </c>
      <c r="D126" s="428">
        <f>+BA112</f>
        <v>5.0944542836022411</v>
      </c>
      <c r="F126" s="436"/>
    </row>
    <row r="127" spans="1:169">
      <c r="B127" s="426" t="s">
        <v>1208</v>
      </c>
      <c r="C127" s="428">
        <f>+BB112</f>
        <v>8.5273517819645512</v>
      </c>
      <c r="D127" s="428">
        <f>+BK112</f>
        <v>4.5685504436022404</v>
      </c>
      <c r="F127" s="436"/>
    </row>
    <row r="128" spans="1:169">
      <c r="B128" s="426" t="s">
        <v>1209</v>
      </c>
      <c r="C128" s="428">
        <f>+BL112</f>
        <v>8.2522759180302128</v>
      </c>
      <c r="D128" s="428">
        <f>+BU112</f>
        <v>4.4233015045613095</v>
      </c>
      <c r="F128" s="436"/>
    </row>
    <row r="129" spans="2:6">
      <c r="B129" s="426" t="s">
        <v>1210</v>
      </c>
      <c r="C129" s="428">
        <f>+BV112</f>
        <v>9.4027997116342217</v>
      </c>
      <c r="D129" s="428">
        <f>+CE112</f>
        <v>5.0418538617556941</v>
      </c>
      <c r="F129" s="436"/>
    </row>
    <row r="130" spans="2:6">
      <c r="B130" s="426" t="s">
        <v>1211</v>
      </c>
      <c r="C130" s="428">
        <f>+CF112</f>
        <v>9.099483591904086</v>
      </c>
      <c r="D130" s="428">
        <f>+CO112</f>
        <v>4.8813370705162633</v>
      </c>
      <c r="F130" s="436"/>
    </row>
    <row r="131" spans="2:6">
      <c r="B131" s="426" t="s">
        <v>1212</v>
      </c>
      <c r="C131" s="428">
        <f>+CP112</f>
        <v>9.4027997116342217</v>
      </c>
      <c r="D131" s="428">
        <f>+CY112</f>
        <v>5.0418538617556941</v>
      </c>
      <c r="F131" s="436"/>
    </row>
    <row r="132" spans="2:6">
      <c r="B132" s="426" t="s">
        <v>1213</v>
      </c>
      <c r="C132" s="428">
        <f>+CZ112</f>
        <v>10.302462158507518</v>
      </c>
      <c r="D132" s="428">
        <f>+DI112</f>
        <v>5.4819768176453065</v>
      </c>
      <c r="F132" s="436"/>
    </row>
    <row r="133" spans="2:6">
      <c r="B133" s="426" t="s">
        <v>1214</v>
      </c>
      <c r="C133" s="428">
        <f>+DJ112</f>
        <v>9.305449691555177</v>
      </c>
      <c r="D133" s="428">
        <f>+DS112</f>
        <v>4.9578338998086631</v>
      </c>
      <c r="F133" s="436"/>
    </row>
    <row r="134" spans="2:6">
      <c r="B134" s="426" t="s">
        <v>1215</v>
      </c>
      <c r="C134" s="428">
        <f>+DT112</f>
        <v>10.302462158507518</v>
      </c>
      <c r="D134" s="428">
        <f>+EC112</f>
        <v>5.4819768176453065</v>
      </c>
      <c r="E134" s="436"/>
      <c r="F134" s="436"/>
    </row>
    <row r="135" spans="2:6">
      <c r="B135" s="426" t="s">
        <v>18</v>
      </c>
      <c r="C135" s="811">
        <f>SUM(C123:C134)</f>
        <v>105.34936169539699</v>
      </c>
      <c r="D135" s="811">
        <f>SUM(D123:D134)</f>
        <v>58.275337668761196</v>
      </c>
      <c r="E135" s="436"/>
      <c r="F135" s="436"/>
    </row>
    <row r="136" spans="2:6">
      <c r="B136" s="429" t="s">
        <v>1216</v>
      </c>
      <c r="C136" s="408"/>
      <c r="D136" s="810">
        <f>+D135/C135*10</f>
        <v>5.5316270294314851</v>
      </c>
    </row>
    <row r="137" spans="2:6" ht="28.5" customHeight="1">
      <c r="B137" s="1773" t="s">
        <v>1247</v>
      </c>
      <c r="C137" s="1773"/>
      <c r="D137" s="1773"/>
      <c r="E137" s="450"/>
      <c r="F137" s="437"/>
    </row>
  </sheetData>
  <mergeCells count="105">
    <mergeCell ref="B137:D137"/>
    <mergeCell ref="EF6:EG6"/>
    <mergeCell ref="EH6:EI6"/>
    <mergeCell ref="EJ6:EK6"/>
    <mergeCell ref="EM6:EN6"/>
    <mergeCell ref="F116:EP116"/>
    <mergeCell ref="B121:D121"/>
    <mergeCell ref="DU6:DV6"/>
    <mergeCell ref="DW6:DX6"/>
    <mergeCell ref="DY6:DZ6"/>
    <mergeCell ref="EB6:EC6"/>
    <mergeCell ref="ED6:ED7"/>
    <mergeCell ref="EE6:EE7"/>
    <mergeCell ref="DJ6:DJ7"/>
    <mergeCell ref="DK6:DL6"/>
    <mergeCell ref="DM6:DN6"/>
    <mergeCell ref="DO6:DP6"/>
    <mergeCell ref="DR6:DS6"/>
    <mergeCell ref="DT6:DT7"/>
    <mergeCell ref="CX6:CY6"/>
    <mergeCell ref="CZ6:CZ7"/>
    <mergeCell ref="DA6:DB6"/>
    <mergeCell ref="DC6:DD6"/>
    <mergeCell ref="DE6:DF6"/>
    <mergeCell ref="DH6:DI6"/>
    <mergeCell ref="CK6:CL6"/>
    <mergeCell ref="CN6:CO6"/>
    <mergeCell ref="CP6:CP7"/>
    <mergeCell ref="CQ6:CR6"/>
    <mergeCell ref="CS6:CT6"/>
    <mergeCell ref="CU6:CV6"/>
    <mergeCell ref="BY6:BZ6"/>
    <mergeCell ref="CA6:CB6"/>
    <mergeCell ref="CD6:CE6"/>
    <mergeCell ref="CF6:CF7"/>
    <mergeCell ref="CG6:CH6"/>
    <mergeCell ref="CI6:CJ6"/>
    <mergeCell ref="BQ6:BR6"/>
    <mergeCell ref="BT6:BU6"/>
    <mergeCell ref="BV6:BV7"/>
    <mergeCell ref="BW6:BX6"/>
    <mergeCell ref="BB6:BB7"/>
    <mergeCell ref="BC6:BD6"/>
    <mergeCell ref="BE6:BF6"/>
    <mergeCell ref="BG6:BH6"/>
    <mergeCell ref="BJ6:BK6"/>
    <mergeCell ref="BL6:BL7"/>
    <mergeCell ref="FM5:FM7"/>
    <mergeCell ref="FN5:FN7"/>
    <mergeCell ref="N6:N7"/>
    <mergeCell ref="O6:P6"/>
    <mergeCell ref="Q6:R6"/>
    <mergeCell ref="S6:T6"/>
    <mergeCell ref="V6:W6"/>
    <mergeCell ref="X6:X7"/>
    <mergeCell ref="Y6:Z6"/>
    <mergeCell ref="AA6:AB6"/>
    <mergeCell ref="ES5:FC5"/>
    <mergeCell ref="FH5:FH7"/>
    <mergeCell ref="FI5:FI7"/>
    <mergeCell ref="FJ5:FJ7"/>
    <mergeCell ref="FK5:FK7"/>
    <mergeCell ref="FL5:FL7"/>
    <mergeCell ref="CF5:CO5"/>
    <mergeCell ref="CP5:CY5"/>
    <mergeCell ref="CZ5:DI5"/>
    <mergeCell ref="DJ5:DS5"/>
    <mergeCell ref="DT5:EC5"/>
    <mergeCell ref="ED5:EP5"/>
    <mergeCell ref="X5:AG5"/>
    <mergeCell ref="AH5:AQ5"/>
    <mergeCell ref="AR5:BA5"/>
    <mergeCell ref="BB5:BK5"/>
    <mergeCell ref="BL5:BU5"/>
    <mergeCell ref="BV5:CE5"/>
    <mergeCell ref="I5:I7"/>
    <mergeCell ref="J5:J7"/>
    <mergeCell ref="K5:K7"/>
    <mergeCell ref="L5:L7"/>
    <mergeCell ref="M5:M7"/>
    <mergeCell ref="N5:W5"/>
    <mergeCell ref="AP6:AQ6"/>
    <mergeCell ref="AR6:AR7"/>
    <mergeCell ref="AS6:AT6"/>
    <mergeCell ref="AU6:AV6"/>
    <mergeCell ref="AW6:AX6"/>
    <mergeCell ref="AZ6:BA6"/>
    <mergeCell ref="AC6:AD6"/>
    <mergeCell ref="AF6:AG6"/>
    <mergeCell ref="AH6:AH7"/>
    <mergeCell ref="AI6:AJ6"/>
    <mergeCell ref="AK6:AL6"/>
    <mergeCell ref="AM6:AN6"/>
    <mergeCell ref="BM6:BN6"/>
    <mergeCell ref="BO6:BP6"/>
    <mergeCell ref="A4:R4"/>
    <mergeCell ref="S4:T4"/>
    <mergeCell ref="A5:A7"/>
    <mergeCell ref="B5:B7"/>
    <mergeCell ref="C5:C7"/>
    <mergeCell ref="D5:D7"/>
    <mergeCell ref="E5:E7"/>
    <mergeCell ref="F5:F7"/>
    <mergeCell ref="G5:G7"/>
    <mergeCell ref="H5:H7"/>
  </mergeCells>
  <pageMargins left="0.70866141732283472" right="0.70866141732283472" top="0.74803149606299213" bottom="0.74803149606299213" header="0.31496062992125984" footer="0.31496062992125984"/>
  <pageSetup scale="37" orientation="landscape" horizontalDpi="300" verticalDpi="300" r:id="rId1"/>
  <colBreaks count="4" manualBreakCount="4">
    <brk id="23" max="135" man="1"/>
    <brk id="53" max="136" man="1"/>
    <brk id="83" max="136" man="1"/>
    <brk id="113" max="136"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FFFF"/>
    <pageSetUpPr fitToPage="1"/>
  </sheetPr>
  <dimension ref="A1:V123"/>
  <sheetViews>
    <sheetView showGridLines="0" view="pageBreakPreview" zoomScale="70" zoomScaleNormal="90" zoomScaleSheetLayoutView="70" workbookViewId="0">
      <selection activeCell="A8" sqref="A8:U18"/>
    </sheetView>
  </sheetViews>
  <sheetFormatPr defaultColWidth="9.19921875" defaultRowHeight="14.25"/>
  <cols>
    <col min="1" max="1" width="25.796875" style="213" bestFit="1" customWidth="1"/>
    <col min="2" max="3" width="10.796875" style="213" customWidth="1"/>
    <col min="4" max="4" width="12.796875" style="213" bestFit="1" customWidth="1"/>
    <col min="5" max="21" width="10.33203125" style="213" customWidth="1"/>
    <col min="22" max="16384" width="9.19921875" style="213"/>
  </cols>
  <sheetData>
    <row r="1" spans="1:22">
      <c r="A1" s="219" t="s">
        <v>1802</v>
      </c>
      <c r="B1" s="219"/>
      <c r="C1" s="219"/>
      <c r="D1" s="219"/>
      <c r="E1" s="219"/>
      <c r="F1" s="219"/>
      <c r="G1" s="219"/>
      <c r="H1" s="219"/>
      <c r="I1" s="219"/>
      <c r="J1" s="219"/>
      <c r="K1" s="219"/>
      <c r="L1" s="219"/>
    </row>
    <row r="2" spans="1:22">
      <c r="A2" s="241" t="str">
        <f>+'BS1'!A2</f>
        <v>NIDP DEVELOPERS PRIVATE LIMITED</v>
      </c>
      <c r="B2" s="39"/>
      <c r="C2" s="39"/>
    </row>
    <row r="3" spans="1:22" ht="14.65" thickBot="1">
      <c r="A3" s="277" t="s">
        <v>1181</v>
      </c>
      <c r="B3" s="277"/>
      <c r="C3" s="277"/>
      <c r="D3" s="277"/>
      <c r="E3" s="277"/>
      <c r="F3" s="277"/>
      <c r="G3" s="277"/>
      <c r="H3" s="277"/>
      <c r="I3" s="277"/>
      <c r="J3" s="277"/>
      <c r="K3" s="277"/>
      <c r="L3" s="277"/>
    </row>
    <row r="4" spans="1:22">
      <c r="A4" s="219" t="s">
        <v>1233</v>
      </c>
      <c r="B4" s="219"/>
      <c r="C4" s="440"/>
      <c r="D4" s="219"/>
      <c r="E4" s="219"/>
      <c r="F4" s="219"/>
      <c r="G4" s="219"/>
      <c r="H4" s="219"/>
      <c r="I4" s="219"/>
      <c r="J4" s="219"/>
      <c r="K4" s="219"/>
      <c r="L4" s="219"/>
    </row>
    <row r="5" spans="1:22">
      <c r="A5" s="1524" t="s">
        <v>1182</v>
      </c>
      <c r="B5" s="1553" t="s">
        <v>1183</v>
      </c>
      <c r="C5" s="1553" t="s">
        <v>1235</v>
      </c>
      <c r="D5" s="1524" t="s">
        <v>1442</v>
      </c>
      <c r="E5" s="1524"/>
      <c r="F5" s="1524"/>
      <c r="G5" s="1524"/>
      <c r="H5" s="1524"/>
      <c r="I5" s="1524"/>
      <c r="J5" s="1524"/>
      <c r="K5" s="1524"/>
      <c r="L5" s="1524"/>
      <c r="M5" s="1524" t="s">
        <v>2024</v>
      </c>
      <c r="N5" s="1524"/>
      <c r="O5" s="1524"/>
      <c r="P5" s="1524"/>
      <c r="Q5" s="1524"/>
      <c r="R5" s="1524"/>
      <c r="S5" s="1524"/>
      <c r="T5" s="1524"/>
      <c r="U5" s="1524"/>
    </row>
    <row r="6" spans="1:22" s="218" customFormat="1" ht="54.75" customHeight="1">
      <c r="A6" s="1524"/>
      <c r="B6" s="1553"/>
      <c r="C6" s="1553"/>
      <c r="D6" s="182" t="s">
        <v>1184</v>
      </c>
      <c r="E6" s="182" t="s">
        <v>1185</v>
      </c>
      <c r="F6" s="182" t="s">
        <v>1186</v>
      </c>
      <c r="G6" s="182" t="s">
        <v>1238</v>
      </c>
      <c r="H6" s="182" t="s">
        <v>1276</v>
      </c>
      <c r="I6" s="182" t="s">
        <v>1248</v>
      </c>
      <c r="J6" s="182" t="s">
        <v>1249</v>
      </c>
      <c r="K6" s="182" t="s">
        <v>1250</v>
      </c>
      <c r="L6" s="182" t="s">
        <v>1251</v>
      </c>
      <c r="M6" s="182" t="s">
        <v>1184</v>
      </c>
      <c r="N6" s="182" t="s">
        <v>1185</v>
      </c>
      <c r="O6" s="182" t="s">
        <v>1186</v>
      </c>
      <c r="P6" s="182" t="s">
        <v>1238</v>
      </c>
      <c r="Q6" s="182" t="s">
        <v>1276</v>
      </c>
      <c r="R6" s="182" t="s">
        <v>1248</v>
      </c>
      <c r="S6" s="182" t="s">
        <v>1249</v>
      </c>
      <c r="T6" s="182" t="s">
        <v>1250</v>
      </c>
      <c r="U6" s="182" t="s">
        <v>1251</v>
      </c>
    </row>
    <row r="7" spans="1:22">
      <c r="A7" s="1524"/>
      <c r="B7" s="1553"/>
      <c r="C7" s="1553"/>
      <c r="D7" s="448"/>
      <c r="E7" s="448"/>
      <c r="F7" s="448"/>
      <c r="G7" s="448"/>
      <c r="H7" s="448"/>
      <c r="I7" s="448"/>
      <c r="J7" s="448"/>
      <c r="K7" s="448"/>
      <c r="L7" s="448"/>
      <c r="M7" s="448"/>
      <c r="N7" s="448"/>
      <c r="O7" s="448"/>
      <c r="P7" s="448"/>
      <c r="Q7" s="448"/>
      <c r="R7" s="448"/>
      <c r="S7" s="448"/>
      <c r="T7" s="448"/>
      <c r="U7" s="448"/>
    </row>
    <row r="8" spans="1:22">
      <c r="A8" s="1798" t="s">
        <v>2062</v>
      </c>
      <c r="B8" s="1799"/>
      <c r="C8" s="1799"/>
      <c r="D8" s="1799"/>
      <c r="E8" s="1799"/>
      <c r="F8" s="1799"/>
      <c r="G8" s="1799"/>
      <c r="H8" s="1799"/>
      <c r="I8" s="1799"/>
      <c r="J8" s="1799"/>
      <c r="K8" s="1799"/>
      <c r="L8" s="1799"/>
      <c r="M8" s="1799"/>
      <c r="N8" s="1799"/>
      <c r="O8" s="1799"/>
      <c r="P8" s="1799"/>
      <c r="Q8" s="1799"/>
      <c r="R8" s="1799"/>
      <c r="S8" s="1799"/>
      <c r="T8" s="1799"/>
      <c r="U8" s="1800"/>
    </row>
    <row r="9" spans="1:22">
      <c r="A9" s="1801"/>
      <c r="B9" s="1802"/>
      <c r="C9" s="1802"/>
      <c r="D9" s="1802"/>
      <c r="E9" s="1802"/>
      <c r="F9" s="1802"/>
      <c r="G9" s="1802"/>
      <c r="H9" s="1802"/>
      <c r="I9" s="1802"/>
      <c r="J9" s="1802"/>
      <c r="K9" s="1802"/>
      <c r="L9" s="1802"/>
      <c r="M9" s="1802"/>
      <c r="N9" s="1802"/>
      <c r="O9" s="1802"/>
      <c r="P9" s="1802"/>
      <c r="Q9" s="1802"/>
      <c r="R9" s="1802"/>
      <c r="S9" s="1802"/>
      <c r="T9" s="1802"/>
      <c r="U9" s="1803"/>
      <c r="V9" s="396"/>
    </row>
    <row r="10" spans="1:22">
      <c r="A10" s="1801"/>
      <c r="B10" s="1802"/>
      <c r="C10" s="1802"/>
      <c r="D10" s="1802"/>
      <c r="E10" s="1802"/>
      <c r="F10" s="1802"/>
      <c r="G10" s="1802"/>
      <c r="H10" s="1802"/>
      <c r="I10" s="1802"/>
      <c r="J10" s="1802"/>
      <c r="K10" s="1802"/>
      <c r="L10" s="1802"/>
      <c r="M10" s="1802"/>
      <c r="N10" s="1802"/>
      <c r="O10" s="1802"/>
      <c r="P10" s="1802"/>
      <c r="Q10" s="1802"/>
      <c r="R10" s="1802"/>
      <c r="S10" s="1802"/>
      <c r="T10" s="1802"/>
      <c r="U10" s="1803"/>
      <c r="V10" s="396"/>
    </row>
    <row r="11" spans="1:22" s="153" customFormat="1">
      <c r="A11" s="1801"/>
      <c r="B11" s="1802"/>
      <c r="C11" s="1802"/>
      <c r="D11" s="1802"/>
      <c r="E11" s="1802"/>
      <c r="F11" s="1802"/>
      <c r="G11" s="1802"/>
      <c r="H11" s="1802"/>
      <c r="I11" s="1802"/>
      <c r="J11" s="1802"/>
      <c r="K11" s="1802"/>
      <c r="L11" s="1802"/>
      <c r="M11" s="1802"/>
      <c r="N11" s="1802"/>
      <c r="O11" s="1802"/>
      <c r="P11" s="1802"/>
      <c r="Q11" s="1802"/>
      <c r="R11" s="1802"/>
      <c r="S11" s="1802"/>
      <c r="T11" s="1802"/>
      <c r="U11" s="1803"/>
    </row>
    <row r="12" spans="1:22" s="153" customFormat="1">
      <c r="A12" s="1801"/>
      <c r="B12" s="1802"/>
      <c r="C12" s="1802"/>
      <c r="D12" s="1802"/>
      <c r="E12" s="1802"/>
      <c r="F12" s="1802"/>
      <c r="G12" s="1802"/>
      <c r="H12" s="1802"/>
      <c r="I12" s="1802"/>
      <c r="J12" s="1802"/>
      <c r="K12" s="1802"/>
      <c r="L12" s="1802"/>
      <c r="M12" s="1802"/>
      <c r="N12" s="1802"/>
      <c r="O12" s="1802"/>
      <c r="P12" s="1802"/>
      <c r="Q12" s="1802"/>
      <c r="R12" s="1802"/>
      <c r="S12" s="1802"/>
      <c r="T12" s="1802"/>
      <c r="U12" s="1803"/>
    </row>
    <row r="13" spans="1:22" s="153" customFormat="1">
      <c r="A13" s="1801"/>
      <c r="B13" s="1802"/>
      <c r="C13" s="1802"/>
      <c r="D13" s="1802"/>
      <c r="E13" s="1802"/>
      <c r="F13" s="1802"/>
      <c r="G13" s="1802"/>
      <c r="H13" s="1802"/>
      <c r="I13" s="1802"/>
      <c r="J13" s="1802"/>
      <c r="K13" s="1802"/>
      <c r="L13" s="1802"/>
      <c r="M13" s="1802"/>
      <c r="N13" s="1802"/>
      <c r="O13" s="1802"/>
      <c r="P13" s="1802"/>
      <c r="Q13" s="1802"/>
      <c r="R13" s="1802"/>
      <c r="S13" s="1802"/>
      <c r="T13" s="1802"/>
      <c r="U13" s="1803"/>
    </row>
    <row r="14" spans="1:22" s="153" customFormat="1">
      <c r="A14" s="1801"/>
      <c r="B14" s="1802"/>
      <c r="C14" s="1802"/>
      <c r="D14" s="1802"/>
      <c r="E14" s="1802"/>
      <c r="F14" s="1802"/>
      <c r="G14" s="1802"/>
      <c r="H14" s="1802"/>
      <c r="I14" s="1802"/>
      <c r="J14" s="1802"/>
      <c r="K14" s="1802"/>
      <c r="L14" s="1802"/>
      <c r="M14" s="1802"/>
      <c r="N14" s="1802"/>
      <c r="O14" s="1802"/>
      <c r="P14" s="1802"/>
      <c r="Q14" s="1802"/>
      <c r="R14" s="1802"/>
      <c r="S14" s="1802"/>
      <c r="T14" s="1802"/>
      <c r="U14" s="1803"/>
    </row>
    <row r="15" spans="1:22" s="153" customFormat="1">
      <c r="A15" s="1801"/>
      <c r="B15" s="1802"/>
      <c r="C15" s="1802"/>
      <c r="D15" s="1802"/>
      <c r="E15" s="1802"/>
      <c r="F15" s="1802"/>
      <c r="G15" s="1802"/>
      <c r="H15" s="1802"/>
      <c r="I15" s="1802"/>
      <c r="J15" s="1802"/>
      <c r="K15" s="1802"/>
      <c r="L15" s="1802"/>
      <c r="M15" s="1802"/>
      <c r="N15" s="1802"/>
      <c r="O15" s="1802"/>
      <c r="P15" s="1802"/>
      <c r="Q15" s="1802"/>
      <c r="R15" s="1802"/>
      <c r="S15" s="1802"/>
      <c r="T15" s="1802"/>
      <c r="U15" s="1803"/>
    </row>
    <row r="16" spans="1:22" s="153" customFormat="1">
      <c r="A16" s="1801"/>
      <c r="B16" s="1802"/>
      <c r="C16" s="1802"/>
      <c r="D16" s="1802"/>
      <c r="E16" s="1802"/>
      <c r="F16" s="1802"/>
      <c r="G16" s="1802"/>
      <c r="H16" s="1802"/>
      <c r="I16" s="1802"/>
      <c r="J16" s="1802"/>
      <c r="K16" s="1802"/>
      <c r="L16" s="1802"/>
      <c r="M16" s="1802"/>
      <c r="N16" s="1802"/>
      <c r="O16" s="1802"/>
      <c r="P16" s="1802"/>
      <c r="Q16" s="1802"/>
      <c r="R16" s="1802"/>
      <c r="S16" s="1802"/>
      <c r="T16" s="1802"/>
      <c r="U16" s="1803"/>
    </row>
    <row r="17" spans="1:21" s="153" customFormat="1">
      <c r="A17" s="1801"/>
      <c r="B17" s="1802"/>
      <c r="C17" s="1802"/>
      <c r="D17" s="1802"/>
      <c r="E17" s="1802"/>
      <c r="F17" s="1802"/>
      <c r="G17" s="1802"/>
      <c r="H17" s="1802"/>
      <c r="I17" s="1802"/>
      <c r="J17" s="1802"/>
      <c r="K17" s="1802"/>
      <c r="L17" s="1802"/>
      <c r="M17" s="1802"/>
      <c r="N17" s="1802"/>
      <c r="O17" s="1802"/>
      <c r="P17" s="1802"/>
      <c r="Q17" s="1802"/>
      <c r="R17" s="1802"/>
      <c r="S17" s="1802"/>
      <c r="T17" s="1802"/>
      <c r="U17" s="1803"/>
    </row>
    <row r="18" spans="1:21" s="153" customFormat="1">
      <c r="A18" s="1804"/>
      <c r="B18" s="1805"/>
      <c r="C18" s="1805"/>
      <c r="D18" s="1805"/>
      <c r="E18" s="1805"/>
      <c r="F18" s="1805"/>
      <c r="G18" s="1805"/>
      <c r="H18" s="1805"/>
      <c r="I18" s="1805"/>
      <c r="J18" s="1805"/>
      <c r="K18" s="1805"/>
      <c r="L18" s="1805"/>
      <c r="M18" s="1805"/>
      <c r="N18" s="1805"/>
      <c r="O18" s="1805"/>
      <c r="P18" s="1805"/>
      <c r="Q18" s="1805"/>
      <c r="R18" s="1805"/>
      <c r="S18" s="1805"/>
      <c r="T18" s="1805"/>
      <c r="U18" s="1806"/>
    </row>
    <row r="19" spans="1:21">
      <c r="A19" s="386" t="s">
        <v>18</v>
      </c>
      <c r="B19" s="386"/>
      <c r="C19" s="386"/>
      <c r="D19" s="387"/>
      <c r="E19" s="387"/>
      <c r="F19" s="387"/>
      <c r="G19" s="387"/>
      <c r="H19" s="387"/>
      <c r="I19" s="387"/>
      <c r="J19" s="387"/>
      <c r="K19" s="387"/>
      <c r="L19" s="387"/>
      <c r="M19" s="387"/>
      <c r="N19" s="387"/>
      <c r="O19" s="387"/>
      <c r="P19" s="387"/>
      <c r="Q19" s="387"/>
      <c r="R19" s="387"/>
      <c r="S19" s="387"/>
      <c r="T19" s="387"/>
      <c r="U19" s="387"/>
    </row>
    <row r="20" spans="1:21">
      <c r="A20" s="1795" t="s">
        <v>1410</v>
      </c>
      <c r="B20" s="1796"/>
      <c r="C20" s="1796"/>
      <c r="D20" s="1796"/>
      <c r="E20" s="1796"/>
      <c r="F20" s="1796"/>
      <c r="G20" s="1796"/>
      <c r="H20" s="1796"/>
      <c r="I20" s="1796"/>
      <c r="J20" s="1796"/>
      <c r="K20" s="1796"/>
      <c r="L20" s="1797"/>
      <c r="N20" s="394"/>
      <c r="O20" s="394"/>
      <c r="P20" s="394"/>
      <c r="Q20" s="394"/>
      <c r="R20" s="394"/>
      <c r="S20" s="394"/>
      <c r="T20" s="394"/>
    </row>
    <row r="21" spans="1:21">
      <c r="A21" s="28" t="s">
        <v>1287</v>
      </c>
      <c r="B21" s="28"/>
      <c r="C21" s="28"/>
      <c r="D21" s="28"/>
      <c r="E21" s="28"/>
      <c r="F21" s="28"/>
      <c r="G21" s="28"/>
      <c r="H21" s="28"/>
      <c r="I21" s="28"/>
      <c r="J21" s="28"/>
      <c r="K21" s="28"/>
      <c r="L21" s="28"/>
      <c r="N21" s="394"/>
      <c r="O21" s="394"/>
      <c r="P21" s="394"/>
      <c r="Q21" s="394"/>
      <c r="R21" s="394"/>
      <c r="S21" s="394"/>
      <c r="T21" s="394"/>
    </row>
    <row r="22" spans="1:21">
      <c r="A22" s="1795" t="s">
        <v>1234</v>
      </c>
      <c r="B22" s="1796"/>
      <c r="C22" s="1796"/>
      <c r="D22" s="1796"/>
      <c r="E22" s="1796"/>
      <c r="F22" s="1796"/>
      <c r="G22" s="1796"/>
      <c r="H22" s="1796"/>
      <c r="I22" s="1796"/>
      <c r="J22" s="1796"/>
      <c r="K22" s="1796"/>
      <c r="L22" s="1797"/>
      <c r="N22" s="394"/>
      <c r="O22" s="394"/>
      <c r="P22" s="394"/>
      <c r="Q22" s="394"/>
      <c r="R22" s="394"/>
      <c r="S22" s="394"/>
      <c r="T22" s="394"/>
    </row>
    <row r="23" spans="1:21">
      <c r="N23" s="394"/>
      <c r="O23" s="394"/>
      <c r="P23" s="394"/>
      <c r="Q23" s="394"/>
      <c r="R23" s="394"/>
      <c r="S23" s="394"/>
      <c r="T23" s="394"/>
    </row>
    <row r="24" spans="1:21">
      <c r="N24" s="394"/>
      <c r="O24" s="394"/>
      <c r="P24" s="394"/>
      <c r="Q24" s="394"/>
      <c r="R24" s="394"/>
      <c r="S24" s="395"/>
      <c r="T24" s="394"/>
    </row>
    <row r="25" spans="1:21">
      <c r="N25" s="394"/>
      <c r="O25" s="394"/>
      <c r="P25" s="394"/>
      <c r="Q25" s="394"/>
      <c r="R25" s="394"/>
      <c r="S25" s="394"/>
      <c r="T25" s="394"/>
    </row>
    <row r="26" spans="1:21">
      <c r="N26" s="394"/>
      <c r="O26" s="394"/>
      <c r="P26" s="394"/>
      <c r="Q26" s="394"/>
      <c r="R26" s="394"/>
      <c r="S26" s="394"/>
      <c r="T26" s="394"/>
    </row>
    <row r="27" spans="1:21">
      <c r="N27" s="394"/>
      <c r="O27" s="394"/>
      <c r="P27" s="394"/>
      <c r="Q27" s="394"/>
      <c r="R27" s="394"/>
      <c r="S27" s="394"/>
      <c r="T27" s="394"/>
    </row>
    <row r="57" spans="13:13">
      <c r="M57" s="396" t="e">
        <f>SUM(#REF!,#REF!)</f>
        <v>#REF!</v>
      </c>
    </row>
    <row r="58" spans="13:13">
      <c r="M58" s="388" t="e">
        <f>M57/P19</f>
        <v>#REF!</v>
      </c>
    </row>
    <row r="122" spans="4:13">
      <c r="M122" s="396"/>
    </row>
    <row r="123" spans="4:13">
      <c r="D123" s="396"/>
    </row>
  </sheetData>
  <autoFilter ref="A6:L19" xr:uid="{00000000-0009-0000-0000-00001C000000}"/>
  <dataConsolidate>
    <dataRefs count="1">
      <dataRef ref="C29:E61" sheet="Summary" r:id="rId1"/>
    </dataRefs>
  </dataConsolidate>
  <mergeCells count="8">
    <mergeCell ref="M5:U5"/>
    <mergeCell ref="D5:L5"/>
    <mergeCell ref="A20:L20"/>
    <mergeCell ref="A22:L22"/>
    <mergeCell ref="A5:A7"/>
    <mergeCell ref="B5:B7"/>
    <mergeCell ref="C5:C7"/>
    <mergeCell ref="A8:U18"/>
  </mergeCells>
  <printOptions horizontalCentered="1"/>
  <pageMargins left="0.70866141732283472" right="0.70866141732283472" top="0.74803149606299213" bottom="0.74803149606299213" header="0.31496062992125984" footer="0.31496062992125984"/>
  <pageSetup paperSize="5" scale="56" orientation="landscape" r:id="rId2"/>
  <colBreaks count="1" manualBreakCount="1">
    <brk id="3" max="22"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FFFF"/>
  </sheetPr>
  <dimension ref="A1:O22"/>
  <sheetViews>
    <sheetView showGridLines="0" zoomScaleNormal="100" zoomScaleSheetLayoutView="82" workbookViewId="0">
      <selection activeCell="A12" sqref="A12"/>
    </sheetView>
  </sheetViews>
  <sheetFormatPr defaultRowHeight="14.25"/>
  <cols>
    <col min="1" max="1" width="32.46484375" customWidth="1"/>
    <col min="2" max="2" width="12.19921875" bestFit="1" customWidth="1"/>
    <col min="3" max="3" width="13.19921875" customWidth="1"/>
    <col min="4" max="4" width="12.796875" customWidth="1"/>
    <col min="5" max="5" width="11.796875" customWidth="1"/>
    <col min="6" max="6" width="8.796875" customWidth="1"/>
    <col min="7" max="7" width="11.53125" bestFit="1" customWidth="1"/>
    <col min="8" max="8" width="11" customWidth="1"/>
    <col min="9" max="9" width="9.796875" customWidth="1"/>
    <col min="10" max="10" width="11.796875" customWidth="1"/>
    <col min="11" max="11" width="12" customWidth="1"/>
    <col min="12" max="13" width="11.53125" customWidth="1"/>
    <col min="14" max="14" width="10.19921875" customWidth="1"/>
    <col min="15" max="15" width="12" customWidth="1"/>
    <col min="16" max="255" width="9.19921875"/>
    <col min="256" max="256" width="12.796875" customWidth="1"/>
    <col min="257" max="257" width="7.796875" bestFit="1" customWidth="1"/>
    <col min="258" max="258" width="5.19921875" customWidth="1"/>
    <col min="259" max="259" width="4.46484375" customWidth="1"/>
    <col min="260" max="260" width="11.46484375" customWidth="1"/>
    <col min="261" max="261" width="9.796875" customWidth="1"/>
    <col min="262" max="262" width="8.796875" bestFit="1" customWidth="1"/>
    <col min="263" max="263" width="11.19921875" customWidth="1"/>
    <col min="264" max="264" width="16.53125" customWidth="1"/>
    <col min="265" max="265" width="7.53125" customWidth="1"/>
    <col min="266" max="266" width="8" customWidth="1"/>
    <col min="267" max="268" width="8.19921875" customWidth="1"/>
    <col min="269" max="269" width="6.53125" customWidth="1"/>
    <col min="270" max="270" width="8" customWidth="1"/>
    <col min="271" max="271" width="7.53125" customWidth="1"/>
    <col min="272" max="511" width="9.19921875"/>
    <col min="512" max="512" width="12.796875" customWidth="1"/>
    <col min="513" max="513" width="7.796875" bestFit="1" customWidth="1"/>
    <col min="514" max="514" width="5.19921875" customWidth="1"/>
    <col min="515" max="515" width="4.46484375" customWidth="1"/>
    <col min="516" max="516" width="11.46484375" customWidth="1"/>
    <col min="517" max="517" width="9.796875" customWidth="1"/>
    <col min="518" max="518" width="8.796875" bestFit="1" customWidth="1"/>
    <col min="519" max="519" width="11.19921875" customWidth="1"/>
    <col min="520" max="520" width="16.53125" customWidth="1"/>
    <col min="521" max="521" width="7.53125" customWidth="1"/>
    <col min="522" max="522" width="8" customWidth="1"/>
    <col min="523" max="524" width="8.19921875" customWidth="1"/>
    <col min="525" max="525" width="6.53125" customWidth="1"/>
    <col min="526" max="526" width="8" customWidth="1"/>
    <col min="527" max="527" width="7.53125" customWidth="1"/>
    <col min="528" max="767" width="9.19921875"/>
    <col min="768" max="768" width="12.796875" customWidth="1"/>
    <col min="769" max="769" width="7.796875" bestFit="1" customWidth="1"/>
    <col min="770" max="770" width="5.19921875" customWidth="1"/>
    <col min="771" max="771" width="4.46484375" customWidth="1"/>
    <col min="772" max="772" width="11.46484375" customWidth="1"/>
    <col min="773" max="773" width="9.796875" customWidth="1"/>
    <col min="774" max="774" width="8.796875" bestFit="1" customWidth="1"/>
    <col min="775" max="775" width="11.19921875" customWidth="1"/>
    <col min="776" max="776" width="16.53125" customWidth="1"/>
    <col min="777" max="777" width="7.53125" customWidth="1"/>
    <col min="778" max="778" width="8" customWidth="1"/>
    <col min="779" max="780" width="8.19921875" customWidth="1"/>
    <col min="781" max="781" width="6.53125" customWidth="1"/>
    <col min="782" max="782" width="8" customWidth="1"/>
    <col min="783" max="783" width="7.53125" customWidth="1"/>
    <col min="784" max="1023" width="9.19921875"/>
    <col min="1024" max="1024" width="12.796875" customWidth="1"/>
    <col min="1025" max="1025" width="7.796875" bestFit="1" customWidth="1"/>
    <col min="1026" max="1026" width="5.19921875" customWidth="1"/>
    <col min="1027" max="1027" width="4.46484375" customWidth="1"/>
    <col min="1028" max="1028" width="11.46484375" customWidth="1"/>
    <col min="1029" max="1029" width="9.796875" customWidth="1"/>
    <col min="1030" max="1030" width="8.796875" bestFit="1" customWidth="1"/>
    <col min="1031" max="1031" width="11.19921875" customWidth="1"/>
    <col min="1032" max="1032" width="16.53125" customWidth="1"/>
    <col min="1033" max="1033" width="7.53125" customWidth="1"/>
    <col min="1034" max="1034" width="8" customWidth="1"/>
    <col min="1035" max="1036" width="8.19921875" customWidth="1"/>
    <col min="1037" max="1037" width="6.53125" customWidth="1"/>
    <col min="1038" max="1038" width="8" customWidth="1"/>
    <col min="1039" max="1039" width="7.53125" customWidth="1"/>
    <col min="1040" max="1279" width="9.19921875"/>
    <col min="1280" max="1280" width="12.796875" customWidth="1"/>
    <col min="1281" max="1281" width="7.796875" bestFit="1" customWidth="1"/>
    <col min="1282" max="1282" width="5.19921875" customWidth="1"/>
    <col min="1283" max="1283" width="4.46484375" customWidth="1"/>
    <col min="1284" max="1284" width="11.46484375" customWidth="1"/>
    <col min="1285" max="1285" width="9.796875" customWidth="1"/>
    <col min="1286" max="1286" width="8.796875" bestFit="1" customWidth="1"/>
    <col min="1287" max="1287" width="11.19921875" customWidth="1"/>
    <col min="1288" max="1288" width="16.53125" customWidth="1"/>
    <col min="1289" max="1289" width="7.53125" customWidth="1"/>
    <col min="1290" max="1290" width="8" customWidth="1"/>
    <col min="1291" max="1292" width="8.19921875" customWidth="1"/>
    <col min="1293" max="1293" width="6.53125" customWidth="1"/>
    <col min="1294" max="1294" width="8" customWidth="1"/>
    <col min="1295" max="1295" width="7.53125" customWidth="1"/>
    <col min="1296" max="1535" width="9.19921875"/>
    <col min="1536" max="1536" width="12.796875" customWidth="1"/>
    <col min="1537" max="1537" width="7.796875" bestFit="1" customWidth="1"/>
    <col min="1538" max="1538" width="5.19921875" customWidth="1"/>
    <col min="1539" max="1539" width="4.46484375" customWidth="1"/>
    <col min="1540" max="1540" width="11.46484375" customWidth="1"/>
    <col min="1541" max="1541" width="9.796875" customWidth="1"/>
    <col min="1542" max="1542" width="8.796875" bestFit="1" customWidth="1"/>
    <col min="1543" max="1543" width="11.19921875" customWidth="1"/>
    <col min="1544" max="1544" width="16.53125" customWidth="1"/>
    <col min="1545" max="1545" width="7.53125" customWidth="1"/>
    <col min="1546" max="1546" width="8" customWidth="1"/>
    <col min="1547" max="1548" width="8.19921875" customWidth="1"/>
    <col min="1549" max="1549" width="6.53125" customWidth="1"/>
    <col min="1550" max="1550" width="8" customWidth="1"/>
    <col min="1551" max="1551" width="7.53125" customWidth="1"/>
    <col min="1552" max="1791" width="9.19921875"/>
    <col min="1792" max="1792" width="12.796875" customWidth="1"/>
    <col min="1793" max="1793" width="7.796875" bestFit="1" customWidth="1"/>
    <col min="1794" max="1794" width="5.19921875" customWidth="1"/>
    <col min="1795" max="1795" width="4.46484375" customWidth="1"/>
    <col min="1796" max="1796" width="11.46484375" customWidth="1"/>
    <col min="1797" max="1797" width="9.796875" customWidth="1"/>
    <col min="1798" max="1798" width="8.796875" bestFit="1" customWidth="1"/>
    <col min="1799" max="1799" width="11.19921875" customWidth="1"/>
    <col min="1800" max="1800" width="16.53125" customWidth="1"/>
    <col min="1801" max="1801" width="7.53125" customWidth="1"/>
    <col min="1802" max="1802" width="8" customWidth="1"/>
    <col min="1803" max="1804" width="8.19921875" customWidth="1"/>
    <col min="1805" max="1805" width="6.53125" customWidth="1"/>
    <col min="1806" max="1806" width="8" customWidth="1"/>
    <col min="1807" max="1807" width="7.53125" customWidth="1"/>
    <col min="1808" max="2047" width="9.19921875"/>
    <col min="2048" max="2048" width="12.796875" customWidth="1"/>
    <col min="2049" max="2049" width="7.796875" bestFit="1" customWidth="1"/>
    <col min="2050" max="2050" width="5.19921875" customWidth="1"/>
    <col min="2051" max="2051" width="4.46484375" customWidth="1"/>
    <col min="2052" max="2052" width="11.46484375" customWidth="1"/>
    <col min="2053" max="2053" width="9.796875" customWidth="1"/>
    <col min="2054" max="2054" width="8.796875" bestFit="1" customWidth="1"/>
    <col min="2055" max="2055" width="11.19921875" customWidth="1"/>
    <col min="2056" max="2056" width="16.53125" customWidth="1"/>
    <col min="2057" max="2057" width="7.53125" customWidth="1"/>
    <col min="2058" max="2058" width="8" customWidth="1"/>
    <col min="2059" max="2060" width="8.19921875" customWidth="1"/>
    <col min="2061" max="2061" width="6.53125" customWidth="1"/>
    <col min="2062" max="2062" width="8" customWidth="1"/>
    <col min="2063" max="2063" width="7.53125" customWidth="1"/>
    <col min="2064" max="2303" width="9.19921875"/>
    <col min="2304" max="2304" width="12.796875" customWidth="1"/>
    <col min="2305" max="2305" width="7.796875" bestFit="1" customWidth="1"/>
    <col min="2306" max="2306" width="5.19921875" customWidth="1"/>
    <col min="2307" max="2307" width="4.46484375" customWidth="1"/>
    <col min="2308" max="2308" width="11.46484375" customWidth="1"/>
    <col min="2309" max="2309" width="9.796875" customWidth="1"/>
    <col min="2310" max="2310" width="8.796875" bestFit="1" customWidth="1"/>
    <col min="2311" max="2311" width="11.19921875" customWidth="1"/>
    <col min="2312" max="2312" width="16.53125" customWidth="1"/>
    <col min="2313" max="2313" width="7.53125" customWidth="1"/>
    <col min="2314" max="2314" width="8" customWidth="1"/>
    <col min="2315" max="2316" width="8.19921875" customWidth="1"/>
    <col min="2317" max="2317" width="6.53125" customWidth="1"/>
    <col min="2318" max="2318" width="8" customWidth="1"/>
    <col min="2319" max="2319" width="7.53125" customWidth="1"/>
    <col min="2320" max="2559" width="9.19921875"/>
    <col min="2560" max="2560" width="12.796875" customWidth="1"/>
    <col min="2561" max="2561" width="7.796875" bestFit="1" customWidth="1"/>
    <col min="2562" max="2562" width="5.19921875" customWidth="1"/>
    <col min="2563" max="2563" width="4.46484375" customWidth="1"/>
    <col min="2564" max="2564" width="11.46484375" customWidth="1"/>
    <col min="2565" max="2565" width="9.796875" customWidth="1"/>
    <col min="2566" max="2566" width="8.796875" bestFit="1" customWidth="1"/>
    <col min="2567" max="2567" width="11.19921875" customWidth="1"/>
    <col min="2568" max="2568" width="16.53125" customWidth="1"/>
    <col min="2569" max="2569" width="7.53125" customWidth="1"/>
    <col min="2570" max="2570" width="8" customWidth="1"/>
    <col min="2571" max="2572" width="8.19921875" customWidth="1"/>
    <col min="2573" max="2573" width="6.53125" customWidth="1"/>
    <col min="2574" max="2574" width="8" customWidth="1"/>
    <col min="2575" max="2575" width="7.53125" customWidth="1"/>
    <col min="2576" max="2815" width="9.19921875"/>
    <col min="2816" max="2816" width="12.796875" customWidth="1"/>
    <col min="2817" max="2817" width="7.796875" bestFit="1" customWidth="1"/>
    <col min="2818" max="2818" width="5.19921875" customWidth="1"/>
    <col min="2819" max="2819" width="4.46484375" customWidth="1"/>
    <col min="2820" max="2820" width="11.46484375" customWidth="1"/>
    <col min="2821" max="2821" width="9.796875" customWidth="1"/>
    <col min="2822" max="2822" width="8.796875" bestFit="1" customWidth="1"/>
    <col min="2823" max="2823" width="11.19921875" customWidth="1"/>
    <col min="2824" max="2824" width="16.53125" customWidth="1"/>
    <col min="2825" max="2825" width="7.53125" customWidth="1"/>
    <col min="2826" max="2826" width="8" customWidth="1"/>
    <col min="2827" max="2828" width="8.19921875" customWidth="1"/>
    <col min="2829" max="2829" width="6.53125" customWidth="1"/>
    <col min="2830" max="2830" width="8" customWidth="1"/>
    <col min="2831" max="2831" width="7.53125" customWidth="1"/>
    <col min="2832" max="3071" width="9.19921875"/>
    <col min="3072" max="3072" width="12.796875" customWidth="1"/>
    <col min="3073" max="3073" width="7.796875" bestFit="1" customWidth="1"/>
    <col min="3074" max="3074" width="5.19921875" customWidth="1"/>
    <col min="3075" max="3075" width="4.46484375" customWidth="1"/>
    <col min="3076" max="3076" width="11.46484375" customWidth="1"/>
    <col min="3077" max="3077" width="9.796875" customWidth="1"/>
    <col min="3078" max="3078" width="8.796875" bestFit="1" customWidth="1"/>
    <col min="3079" max="3079" width="11.19921875" customWidth="1"/>
    <col min="3080" max="3080" width="16.53125" customWidth="1"/>
    <col min="3081" max="3081" width="7.53125" customWidth="1"/>
    <col min="3082" max="3082" width="8" customWidth="1"/>
    <col min="3083" max="3084" width="8.19921875" customWidth="1"/>
    <col min="3085" max="3085" width="6.53125" customWidth="1"/>
    <col min="3086" max="3086" width="8" customWidth="1"/>
    <col min="3087" max="3087" width="7.53125" customWidth="1"/>
    <col min="3088" max="3327" width="9.19921875"/>
    <col min="3328" max="3328" width="12.796875" customWidth="1"/>
    <col min="3329" max="3329" width="7.796875" bestFit="1" customWidth="1"/>
    <col min="3330" max="3330" width="5.19921875" customWidth="1"/>
    <col min="3331" max="3331" width="4.46484375" customWidth="1"/>
    <col min="3332" max="3332" width="11.46484375" customWidth="1"/>
    <col min="3333" max="3333" width="9.796875" customWidth="1"/>
    <col min="3334" max="3334" width="8.796875" bestFit="1" customWidth="1"/>
    <col min="3335" max="3335" width="11.19921875" customWidth="1"/>
    <col min="3336" max="3336" width="16.53125" customWidth="1"/>
    <col min="3337" max="3337" width="7.53125" customWidth="1"/>
    <col min="3338" max="3338" width="8" customWidth="1"/>
    <col min="3339" max="3340" width="8.19921875" customWidth="1"/>
    <col min="3341" max="3341" width="6.53125" customWidth="1"/>
    <col min="3342" max="3342" width="8" customWidth="1"/>
    <col min="3343" max="3343" width="7.53125" customWidth="1"/>
    <col min="3344" max="3583" width="9.19921875"/>
    <col min="3584" max="3584" width="12.796875" customWidth="1"/>
    <col min="3585" max="3585" width="7.796875" bestFit="1" customWidth="1"/>
    <col min="3586" max="3586" width="5.19921875" customWidth="1"/>
    <col min="3587" max="3587" width="4.46484375" customWidth="1"/>
    <col min="3588" max="3588" width="11.46484375" customWidth="1"/>
    <col min="3589" max="3589" width="9.796875" customWidth="1"/>
    <col min="3590" max="3590" width="8.796875" bestFit="1" customWidth="1"/>
    <col min="3591" max="3591" width="11.19921875" customWidth="1"/>
    <col min="3592" max="3592" width="16.53125" customWidth="1"/>
    <col min="3593" max="3593" width="7.53125" customWidth="1"/>
    <col min="3594" max="3594" width="8" customWidth="1"/>
    <col min="3595" max="3596" width="8.19921875" customWidth="1"/>
    <col min="3597" max="3597" width="6.53125" customWidth="1"/>
    <col min="3598" max="3598" width="8" customWidth="1"/>
    <col min="3599" max="3599" width="7.53125" customWidth="1"/>
    <col min="3600" max="3839" width="9.19921875"/>
    <col min="3840" max="3840" width="12.796875" customWidth="1"/>
    <col min="3841" max="3841" width="7.796875" bestFit="1" customWidth="1"/>
    <col min="3842" max="3842" width="5.19921875" customWidth="1"/>
    <col min="3843" max="3843" width="4.46484375" customWidth="1"/>
    <col min="3844" max="3844" width="11.46484375" customWidth="1"/>
    <col min="3845" max="3845" width="9.796875" customWidth="1"/>
    <col min="3846" max="3846" width="8.796875" bestFit="1" customWidth="1"/>
    <col min="3847" max="3847" width="11.19921875" customWidth="1"/>
    <col min="3848" max="3848" width="16.53125" customWidth="1"/>
    <col min="3849" max="3849" width="7.53125" customWidth="1"/>
    <col min="3850" max="3850" width="8" customWidth="1"/>
    <col min="3851" max="3852" width="8.19921875" customWidth="1"/>
    <col min="3853" max="3853" width="6.53125" customWidth="1"/>
    <col min="3854" max="3854" width="8" customWidth="1"/>
    <col min="3855" max="3855" width="7.53125" customWidth="1"/>
    <col min="3856" max="4095" width="9.19921875"/>
    <col min="4096" max="4096" width="12.796875" customWidth="1"/>
    <col min="4097" max="4097" width="7.796875" bestFit="1" customWidth="1"/>
    <col min="4098" max="4098" width="5.19921875" customWidth="1"/>
    <col min="4099" max="4099" width="4.46484375" customWidth="1"/>
    <col min="4100" max="4100" width="11.46484375" customWidth="1"/>
    <col min="4101" max="4101" width="9.796875" customWidth="1"/>
    <col min="4102" max="4102" width="8.796875" bestFit="1" customWidth="1"/>
    <col min="4103" max="4103" width="11.19921875" customWidth="1"/>
    <col min="4104" max="4104" width="16.53125" customWidth="1"/>
    <col min="4105" max="4105" width="7.53125" customWidth="1"/>
    <col min="4106" max="4106" width="8" customWidth="1"/>
    <col min="4107" max="4108" width="8.19921875" customWidth="1"/>
    <col min="4109" max="4109" width="6.53125" customWidth="1"/>
    <col min="4110" max="4110" width="8" customWidth="1"/>
    <col min="4111" max="4111" width="7.53125" customWidth="1"/>
    <col min="4112" max="4351" width="9.19921875"/>
    <col min="4352" max="4352" width="12.796875" customWidth="1"/>
    <col min="4353" max="4353" width="7.796875" bestFit="1" customWidth="1"/>
    <col min="4354" max="4354" width="5.19921875" customWidth="1"/>
    <col min="4355" max="4355" width="4.46484375" customWidth="1"/>
    <col min="4356" max="4356" width="11.46484375" customWidth="1"/>
    <col min="4357" max="4357" width="9.796875" customWidth="1"/>
    <col min="4358" max="4358" width="8.796875" bestFit="1" customWidth="1"/>
    <col min="4359" max="4359" width="11.19921875" customWidth="1"/>
    <col min="4360" max="4360" width="16.53125" customWidth="1"/>
    <col min="4361" max="4361" width="7.53125" customWidth="1"/>
    <col min="4362" max="4362" width="8" customWidth="1"/>
    <col min="4363" max="4364" width="8.19921875" customWidth="1"/>
    <col min="4365" max="4365" width="6.53125" customWidth="1"/>
    <col min="4366" max="4366" width="8" customWidth="1"/>
    <col min="4367" max="4367" width="7.53125" customWidth="1"/>
    <col min="4368" max="4607" width="9.19921875"/>
    <col min="4608" max="4608" width="12.796875" customWidth="1"/>
    <col min="4609" max="4609" width="7.796875" bestFit="1" customWidth="1"/>
    <col min="4610" max="4610" width="5.19921875" customWidth="1"/>
    <col min="4611" max="4611" width="4.46484375" customWidth="1"/>
    <col min="4612" max="4612" width="11.46484375" customWidth="1"/>
    <col min="4613" max="4613" width="9.796875" customWidth="1"/>
    <col min="4614" max="4614" width="8.796875" bestFit="1" customWidth="1"/>
    <col min="4615" max="4615" width="11.19921875" customWidth="1"/>
    <col min="4616" max="4616" width="16.53125" customWidth="1"/>
    <col min="4617" max="4617" width="7.53125" customWidth="1"/>
    <col min="4618" max="4618" width="8" customWidth="1"/>
    <col min="4619" max="4620" width="8.19921875" customWidth="1"/>
    <col min="4621" max="4621" width="6.53125" customWidth="1"/>
    <col min="4622" max="4622" width="8" customWidth="1"/>
    <col min="4623" max="4623" width="7.53125" customWidth="1"/>
    <col min="4624" max="4863" width="9.19921875"/>
    <col min="4864" max="4864" width="12.796875" customWidth="1"/>
    <col min="4865" max="4865" width="7.796875" bestFit="1" customWidth="1"/>
    <col min="4866" max="4866" width="5.19921875" customWidth="1"/>
    <col min="4867" max="4867" width="4.46484375" customWidth="1"/>
    <col min="4868" max="4868" width="11.46484375" customWidth="1"/>
    <col min="4869" max="4869" width="9.796875" customWidth="1"/>
    <col min="4870" max="4870" width="8.796875" bestFit="1" customWidth="1"/>
    <col min="4871" max="4871" width="11.19921875" customWidth="1"/>
    <col min="4872" max="4872" width="16.53125" customWidth="1"/>
    <col min="4873" max="4873" width="7.53125" customWidth="1"/>
    <col min="4874" max="4874" width="8" customWidth="1"/>
    <col min="4875" max="4876" width="8.19921875" customWidth="1"/>
    <col min="4877" max="4877" width="6.53125" customWidth="1"/>
    <col min="4878" max="4878" width="8" customWidth="1"/>
    <col min="4879" max="4879" width="7.53125" customWidth="1"/>
    <col min="4880" max="5119" width="9.19921875"/>
    <col min="5120" max="5120" width="12.796875" customWidth="1"/>
    <col min="5121" max="5121" width="7.796875" bestFit="1" customWidth="1"/>
    <col min="5122" max="5122" width="5.19921875" customWidth="1"/>
    <col min="5123" max="5123" width="4.46484375" customWidth="1"/>
    <col min="5124" max="5124" width="11.46484375" customWidth="1"/>
    <col min="5125" max="5125" width="9.796875" customWidth="1"/>
    <col min="5126" max="5126" width="8.796875" bestFit="1" customWidth="1"/>
    <col min="5127" max="5127" width="11.19921875" customWidth="1"/>
    <col min="5128" max="5128" width="16.53125" customWidth="1"/>
    <col min="5129" max="5129" width="7.53125" customWidth="1"/>
    <col min="5130" max="5130" width="8" customWidth="1"/>
    <col min="5131" max="5132" width="8.19921875" customWidth="1"/>
    <col min="5133" max="5133" width="6.53125" customWidth="1"/>
    <col min="5134" max="5134" width="8" customWidth="1"/>
    <col min="5135" max="5135" width="7.53125" customWidth="1"/>
    <col min="5136" max="5375" width="9.19921875"/>
    <col min="5376" max="5376" width="12.796875" customWidth="1"/>
    <col min="5377" max="5377" width="7.796875" bestFit="1" customWidth="1"/>
    <col min="5378" max="5378" width="5.19921875" customWidth="1"/>
    <col min="5379" max="5379" width="4.46484375" customWidth="1"/>
    <col min="5380" max="5380" width="11.46484375" customWidth="1"/>
    <col min="5381" max="5381" width="9.796875" customWidth="1"/>
    <col min="5382" max="5382" width="8.796875" bestFit="1" customWidth="1"/>
    <col min="5383" max="5383" width="11.19921875" customWidth="1"/>
    <col min="5384" max="5384" width="16.53125" customWidth="1"/>
    <col min="5385" max="5385" width="7.53125" customWidth="1"/>
    <col min="5386" max="5386" width="8" customWidth="1"/>
    <col min="5387" max="5388" width="8.19921875" customWidth="1"/>
    <col min="5389" max="5389" width="6.53125" customWidth="1"/>
    <col min="5390" max="5390" width="8" customWidth="1"/>
    <col min="5391" max="5391" width="7.53125" customWidth="1"/>
    <col min="5392" max="5631" width="9.19921875"/>
    <col min="5632" max="5632" width="12.796875" customWidth="1"/>
    <col min="5633" max="5633" width="7.796875" bestFit="1" customWidth="1"/>
    <col min="5634" max="5634" width="5.19921875" customWidth="1"/>
    <col min="5635" max="5635" width="4.46484375" customWidth="1"/>
    <col min="5636" max="5636" width="11.46484375" customWidth="1"/>
    <col min="5637" max="5637" width="9.796875" customWidth="1"/>
    <col min="5638" max="5638" width="8.796875" bestFit="1" customWidth="1"/>
    <col min="5639" max="5639" width="11.19921875" customWidth="1"/>
    <col min="5640" max="5640" width="16.53125" customWidth="1"/>
    <col min="5641" max="5641" width="7.53125" customWidth="1"/>
    <col min="5642" max="5642" width="8" customWidth="1"/>
    <col min="5643" max="5644" width="8.19921875" customWidth="1"/>
    <col min="5645" max="5645" width="6.53125" customWidth="1"/>
    <col min="5646" max="5646" width="8" customWidth="1"/>
    <col min="5647" max="5647" width="7.53125" customWidth="1"/>
    <col min="5648" max="5887" width="9.19921875"/>
    <col min="5888" max="5888" width="12.796875" customWidth="1"/>
    <col min="5889" max="5889" width="7.796875" bestFit="1" customWidth="1"/>
    <col min="5890" max="5890" width="5.19921875" customWidth="1"/>
    <col min="5891" max="5891" width="4.46484375" customWidth="1"/>
    <col min="5892" max="5892" width="11.46484375" customWidth="1"/>
    <col min="5893" max="5893" width="9.796875" customWidth="1"/>
    <col min="5894" max="5894" width="8.796875" bestFit="1" customWidth="1"/>
    <col min="5895" max="5895" width="11.19921875" customWidth="1"/>
    <col min="5896" max="5896" width="16.53125" customWidth="1"/>
    <col min="5897" max="5897" width="7.53125" customWidth="1"/>
    <col min="5898" max="5898" width="8" customWidth="1"/>
    <col min="5899" max="5900" width="8.19921875" customWidth="1"/>
    <col min="5901" max="5901" width="6.53125" customWidth="1"/>
    <col min="5902" max="5902" width="8" customWidth="1"/>
    <col min="5903" max="5903" width="7.53125" customWidth="1"/>
    <col min="5904" max="6143" width="9.19921875"/>
    <col min="6144" max="6144" width="12.796875" customWidth="1"/>
    <col min="6145" max="6145" width="7.796875" bestFit="1" customWidth="1"/>
    <col min="6146" max="6146" width="5.19921875" customWidth="1"/>
    <col min="6147" max="6147" width="4.46484375" customWidth="1"/>
    <col min="6148" max="6148" width="11.46484375" customWidth="1"/>
    <col min="6149" max="6149" width="9.796875" customWidth="1"/>
    <col min="6150" max="6150" width="8.796875" bestFit="1" customWidth="1"/>
    <col min="6151" max="6151" width="11.19921875" customWidth="1"/>
    <col min="6152" max="6152" width="16.53125" customWidth="1"/>
    <col min="6153" max="6153" width="7.53125" customWidth="1"/>
    <col min="6154" max="6154" width="8" customWidth="1"/>
    <col min="6155" max="6156" width="8.19921875" customWidth="1"/>
    <col min="6157" max="6157" width="6.53125" customWidth="1"/>
    <col min="6158" max="6158" width="8" customWidth="1"/>
    <col min="6159" max="6159" width="7.53125" customWidth="1"/>
    <col min="6160" max="6399" width="9.19921875"/>
    <col min="6400" max="6400" width="12.796875" customWidth="1"/>
    <col min="6401" max="6401" width="7.796875" bestFit="1" customWidth="1"/>
    <col min="6402" max="6402" width="5.19921875" customWidth="1"/>
    <col min="6403" max="6403" width="4.46484375" customWidth="1"/>
    <col min="6404" max="6404" width="11.46484375" customWidth="1"/>
    <col min="6405" max="6405" width="9.796875" customWidth="1"/>
    <col min="6406" max="6406" width="8.796875" bestFit="1" customWidth="1"/>
    <col min="6407" max="6407" width="11.19921875" customWidth="1"/>
    <col min="6408" max="6408" width="16.53125" customWidth="1"/>
    <col min="6409" max="6409" width="7.53125" customWidth="1"/>
    <col min="6410" max="6410" width="8" customWidth="1"/>
    <col min="6411" max="6412" width="8.19921875" customWidth="1"/>
    <col min="6413" max="6413" width="6.53125" customWidth="1"/>
    <col min="6414" max="6414" width="8" customWidth="1"/>
    <col min="6415" max="6415" width="7.53125" customWidth="1"/>
    <col min="6416" max="6655" width="9.19921875"/>
    <col min="6656" max="6656" width="12.796875" customWidth="1"/>
    <col min="6657" max="6657" width="7.796875" bestFit="1" customWidth="1"/>
    <col min="6658" max="6658" width="5.19921875" customWidth="1"/>
    <col min="6659" max="6659" width="4.46484375" customWidth="1"/>
    <col min="6660" max="6660" width="11.46484375" customWidth="1"/>
    <col min="6661" max="6661" width="9.796875" customWidth="1"/>
    <col min="6662" max="6662" width="8.796875" bestFit="1" customWidth="1"/>
    <col min="6663" max="6663" width="11.19921875" customWidth="1"/>
    <col min="6664" max="6664" width="16.53125" customWidth="1"/>
    <col min="6665" max="6665" width="7.53125" customWidth="1"/>
    <col min="6666" max="6666" width="8" customWidth="1"/>
    <col min="6667" max="6668" width="8.19921875" customWidth="1"/>
    <col min="6669" max="6669" width="6.53125" customWidth="1"/>
    <col min="6670" max="6670" width="8" customWidth="1"/>
    <col min="6671" max="6671" width="7.53125" customWidth="1"/>
    <col min="6672" max="6911" width="9.19921875"/>
    <col min="6912" max="6912" width="12.796875" customWidth="1"/>
    <col min="6913" max="6913" width="7.796875" bestFit="1" customWidth="1"/>
    <col min="6914" max="6914" width="5.19921875" customWidth="1"/>
    <col min="6915" max="6915" width="4.46484375" customWidth="1"/>
    <col min="6916" max="6916" width="11.46484375" customWidth="1"/>
    <col min="6917" max="6917" width="9.796875" customWidth="1"/>
    <col min="6918" max="6918" width="8.796875" bestFit="1" customWidth="1"/>
    <col min="6919" max="6919" width="11.19921875" customWidth="1"/>
    <col min="6920" max="6920" width="16.53125" customWidth="1"/>
    <col min="6921" max="6921" width="7.53125" customWidth="1"/>
    <col min="6922" max="6922" width="8" customWidth="1"/>
    <col min="6923" max="6924" width="8.19921875" customWidth="1"/>
    <col min="6925" max="6925" width="6.53125" customWidth="1"/>
    <col min="6926" max="6926" width="8" customWidth="1"/>
    <col min="6927" max="6927" width="7.53125" customWidth="1"/>
    <col min="6928" max="7167" width="9.19921875"/>
    <col min="7168" max="7168" width="12.796875" customWidth="1"/>
    <col min="7169" max="7169" width="7.796875" bestFit="1" customWidth="1"/>
    <col min="7170" max="7170" width="5.19921875" customWidth="1"/>
    <col min="7171" max="7171" width="4.46484375" customWidth="1"/>
    <col min="7172" max="7172" width="11.46484375" customWidth="1"/>
    <col min="7173" max="7173" width="9.796875" customWidth="1"/>
    <col min="7174" max="7174" width="8.796875" bestFit="1" customWidth="1"/>
    <col min="7175" max="7175" width="11.19921875" customWidth="1"/>
    <col min="7176" max="7176" width="16.53125" customWidth="1"/>
    <col min="7177" max="7177" width="7.53125" customWidth="1"/>
    <col min="7178" max="7178" width="8" customWidth="1"/>
    <col min="7179" max="7180" width="8.19921875" customWidth="1"/>
    <col min="7181" max="7181" width="6.53125" customWidth="1"/>
    <col min="7182" max="7182" width="8" customWidth="1"/>
    <col min="7183" max="7183" width="7.53125" customWidth="1"/>
    <col min="7184" max="7423" width="9.19921875"/>
    <col min="7424" max="7424" width="12.796875" customWidth="1"/>
    <col min="7425" max="7425" width="7.796875" bestFit="1" customWidth="1"/>
    <col min="7426" max="7426" width="5.19921875" customWidth="1"/>
    <col min="7427" max="7427" width="4.46484375" customWidth="1"/>
    <col min="7428" max="7428" width="11.46484375" customWidth="1"/>
    <col min="7429" max="7429" width="9.796875" customWidth="1"/>
    <col min="7430" max="7430" width="8.796875" bestFit="1" customWidth="1"/>
    <col min="7431" max="7431" width="11.19921875" customWidth="1"/>
    <col min="7432" max="7432" width="16.53125" customWidth="1"/>
    <col min="7433" max="7433" width="7.53125" customWidth="1"/>
    <col min="7434" max="7434" width="8" customWidth="1"/>
    <col min="7435" max="7436" width="8.19921875" customWidth="1"/>
    <col min="7437" max="7437" width="6.53125" customWidth="1"/>
    <col min="7438" max="7438" width="8" customWidth="1"/>
    <col min="7439" max="7439" width="7.53125" customWidth="1"/>
    <col min="7440" max="7679" width="9.19921875"/>
    <col min="7680" max="7680" width="12.796875" customWidth="1"/>
    <col min="7681" max="7681" width="7.796875" bestFit="1" customWidth="1"/>
    <col min="7682" max="7682" width="5.19921875" customWidth="1"/>
    <col min="7683" max="7683" width="4.46484375" customWidth="1"/>
    <col min="7684" max="7684" width="11.46484375" customWidth="1"/>
    <col min="7685" max="7685" width="9.796875" customWidth="1"/>
    <col min="7686" max="7686" width="8.796875" bestFit="1" customWidth="1"/>
    <col min="7687" max="7687" width="11.19921875" customWidth="1"/>
    <col min="7688" max="7688" width="16.53125" customWidth="1"/>
    <col min="7689" max="7689" width="7.53125" customWidth="1"/>
    <col min="7690" max="7690" width="8" customWidth="1"/>
    <col min="7691" max="7692" width="8.19921875" customWidth="1"/>
    <col min="7693" max="7693" width="6.53125" customWidth="1"/>
    <col min="7694" max="7694" width="8" customWidth="1"/>
    <col min="7695" max="7695" width="7.53125" customWidth="1"/>
    <col min="7696" max="7935" width="9.19921875"/>
    <col min="7936" max="7936" width="12.796875" customWidth="1"/>
    <col min="7937" max="7937" width="7.796875" bestFit="1" customWidth="1"/>
    <col min="7938" max="7938" width="5.19921875" customWidth="1"/>
    <col min="7939" max="7939" width="4.46484375" customWidth="1"/>
    <col min="7940" max="7940" width="11.46484375" customWidth="1"/>
    <col min="7941" max="7941" width="9.796875" customWidth="1"/>
    <col min="7942" max="7942" width="8.796875" bestFit="1" customWidth="1"/>
    <col min="7943" max="7943" width="11.19921875" customWidth="1"/>
    <col min="7944" max="7944" width="16.53125" customWidth="1"/>
    <col min="7945" max="7945" width="7.53125" customWidth="1"/>
    <col min="7946" max="7946" width="8" customWidth="1"/>
    <col min="7947" max="7948" width="8.19921875" customWidth="1"/>
    <col min="7949" max="7949" width="6.53125" customWidth="1"/>
    <col min="7950" max="7950" width="8" customWidth="1"/>
    <col min="7951" max="7951" width="7.53125" customWidth="1"/>
    <col min="7952" max="8191" width="9.19921875"/>
    <col min="8192" max="8192" width="12.796875" customWidth="1"/>
    <col min="8193" max="8193" width="7.796875" bestFit="1" customWidth="1"/>
    <col min="8194" max="8194" width="5.19921875" customWidth="1"/>
    <col min="8195" max="8195" width="4.46484375" customWidth="1"/>
    <col min="8196" max="8196" width="11.46484375" customWidth="1"/>
    <col min="8197" max="8197" width="9.796875" customWidth="1"/>
    <col min="8198" max="8198" width="8.796875" bestFit="1" customWidth="1"/>
    <col min="8199" max="8199" width="11.19921875" customWidth="1"/>
    <col min="8200" max="8200" width="16.53125" customWidth="1"/>
    <col min="8201" max="8201" width="7.53125" customWidth="1"/>
    <col min="8202" max="8202" width="8" customWidth="1"/>
    <col min="8203" max="8204" width="8.19921875" customWidth="1"/>
    <col min="8205" max="8205" width="6.53125" customWidth="1"/>
    <col min="8206" max="8206" width="8" customWidth="1"/>
    <col min="8207" max="8207" width="7.53125" customWidth="1"/>
    <col min="8208" max="8447" width="9.19921875"/>
    <col min="8448" max="8448" width="12.796875" customWidth="1"/>
    <col min="8449" max="8449" width="7.796875" bestFit="1" customWidth="1"/>
    <col min="8450" max="8450" width="5.19921875" customWidth="1"/>
    <col min="8451" max="8451" width="4.46484375" customWidth="1"/>
    <col min="8452" max="8452" width="11.46484375" customWidth="1"/>
    <col min="8453" max="8453" width="9.796875" customWidth="1"/>
    <col min="8454" max="8454" width="8.796875" bestFit="1" customWidth="1"/>
    <col min="8455" max="8455" width="11.19921875" customWidth="1"/>
    <col min="8456" max="8456" width="16.53125" customWidth="1"/>
    <col min="8457" max="8457" width="7.53125" customWidth="1"/>
    <col min="8458" max="8458" width="8" customWidth="1"/>
    <col min="8459" max="8460" width="8.19921875" customWidth="1"/>
    <col min="8461" max="8461" width="6.53125" customWidth="1"/>
    <col min="8462" max="8462" width="8" customWidth="1"/>
    <col min="8463" max="8463" width="7.53125" customWidth="1"/>
    <col min="8464" max="8703" width="9.19921875"/>
    <col min="8704" max="8704" width="12.796875" customWidth="1"/>
    <col min="8705" max="8705" width="7.796875" bestFit="1" customWidth="1"/>
    <col min="8706" max="8706" width="5.19921875" customWidth="1"/>
    <col min="8707" max="8707" width="4.46484375" customWidth="1"/>
    <col min="8708" max="8708" width="11.46484375" customWidth="1"/>
    <col min="8709" max="8709" width="9.796875" customWidth="1"/>
    <col min="8710" max="8710" width="8.796875" bestFit="1" customWidth="1"/>
    <col min="8711" max="8711" width="11.19921875" customWidth="1"/>
    <col min="8712" max="8712" width="16.53125" customWidth="1"/>
    <col min="8713" max="8713" width="7.53125" customWidth="1"/>
    <col min="8714" max="8714" width="8" customWidth="1"/>
    <col min="8715" max="8716" width="8.19921875" customWidth="1"/>
    <col min="8717" max="8717" width="6.53125" customWidth="1"/>
    <col min="8718" max="8718" width="8" customWidth="1"/>
    <col min="8719" max="8719" width="7.53125" customWidth="1"/>
    <col min="8720" max="8959" width="9.19921875"/>
    <col min="8960" max="8960" width="12.796875" customWidth="1"/>
    <col min="8961" max="8961" width="7.796875" bestFit="1" customWidth="1"/>
    <col min="8962" max="8962" width="5.19921875" customWidth="1"/>
    <col min="8963" max="8963" width="4.46484375" customWidth="1"/>
    <col min="8964" max="8964" width="11.46484375" customWidth="1"/>
    <col min="8965" max="8965" width="9.796875" customWidth="1"/>
    <col min="8966" max="8966" width="8.796875" bestFit="1" customWidth="1"/>
    <col min="8967" max="8967" width="11.19921875" customWidth="1"/>
    <col min="8968" max="8968" width="16.53125" customWidth="1"/>
    <col min="8969" max="8969" width="7.53125" customWidth="1"/>
    <col min="8970" max="8970" width="8" customWidth="1"/>
    <col min="8971" max="8972" width="8.19921875" customWidth="1"/>
    <col min="8973" max="8973" width="6.53125" customWidth="1"/>
    <col min="8974" max="8974" width="8" customWidth="1"/>
    <col min="8975" max="8975" width="7.53125" customWidth="1"/>
    <col min="8976" max="9215" width="9.19921875"/>
    <col min="9216" max="9216" width="12.796875" customWidth="1"/>
    <col min="9217" max="9217" width="7.796875" bestFit="1" customWidth="1"/>
    <col min="9218" max="9218" width="5.19921875" customWidth="1"/>
    <col min="9219" max="9219" width="4.46484375" customWidth="1"/>
    <col min="9220" max="9220" width="11.46484375" customWidth="1"/>
    <col min="9221" max="9221" width="9.796875" customWidth="1"/>
    <col min="9222" max="9222" width="8.796875" bestFit="1" customWidth="1"/>
    <col min="9223" max="9223" width="11.19921875" customWidth="1"/>
    <col min="9224" max="9224" width="16.53125" customWidth="1"/>
    <col min="9225" max="9225" width="7.53125" customWidth="1"/>
    <col min="9226" max="9226" width="8" customWidth="1"/>
    <col min="9227" max="9228" width="8.19921875" customWidth="1"/>
    <col min="9229" max="9229" width="6.53125" customWidth="1"/>
    <col min="9230" max="9230" width="8" customWidth="1"/>
    <col min="9231" max="9231" width="7.53125" customWidth="1"/>
    <col min="9232" max="9471" width="9.19921875"/>
    <col min="9472" max="9472" width="12.796875" customWidth="1"/>
    <col min="9473" max="9473" width="7.796875" bestFit="1" customWidth="1"/>
    <col min="9474" max="9474" width="5.19921875" customWidth="1"/>
    <col min="9475" max="9475" width="4.46484375" customWidth="1"/>
    <col min="9476" max="9476" width="11.46484375" customWidth="1"/>
    <col min="9477" max="9477" width="9.796875" customWidth="1"/>
    <col min="9478" max="9478" width="8.796875" bestFit="1" customWidth="1"/>
    <col min="9479" max="9479" width="11.19921875" customWidth="1"/>
    <col min="9480" max="9480" width="16.53125" customWidth="1"/>
    <col min="9481" max="9481" width="7.53125" customWidth="1"/>
    <col min="9482" max="9482" width="8" customWidth="1"/>
    <col min="9483" max="9484" width="8.19921875" customWidth="1"/>
    <col min="9485" max="9485" width="6.53125" customWidth="1"/>
    <col min="9486" max="9486" width="8" customWidth="1"/>
    <col min="9487" max="9487" width="7.53125" customWidth="1"/>
    <col min="9488" max="9727" width="9.19921875"/>
    <col min="9728" max="9728" width="12.796875" customWidth="1"/>
    <col min="9729" max="9729" width="7.796875" bestFit="1" customWidth="1"/>
    <col min="9730" max="9730" width="5.19921875" customWidth="1"/>
    <col min="9731" max="9731" width="4.46484375" customWidth="1"/>
    <col min="9732" max="9732" width="11.46484375" customWidth="1"/>
    <col min="9733" max="9733" width="9.796875" customWidth="1"/>
    <col min="9734" max="9734" width="8.796875" bestFit="1" customWidth="1"/>
    <col min="9735" max="9735" width="11.19921875" customWidth="1"/>
    <col min="9736" max="9736" width="16.53125" customWidth="1"/>
    <col min="9737" max="9737" width="7.53125" customWidth="1"/>
    <col min="9738" max="9738" width="8" customWidth="1"/>
    <col min="9739" max="9740" width="8.19921875" customWidth="1"/>
    <col min="9741" max="9741" width="6.53125" customWidth="1"/>
    <col min="9742" max="9742" width="8" customWidth="1"/>
    <col min="9743" max="9743" width="7.53125" customWidth="1"/>
    <col min="9744" max="9983" width="9.19921875"/>
    <col min="9984" max="9984" width="12.796875" customWidth="1"/>
    <col min="9985" max="9985" width="7.796875" bestFit="1" customWidth="1"/>
    <col min="9986" max="9986" width="5.19921875" customWidth="1"/>
    <col min="9987" max="9987" width="4.46484375" customWidth="1"/>
    <col min="9988" max="9988" width="11.46484375" customWidth="1"/>
    <col min="9989" max="9989" width="9.796875" customWidth="1"/>
    <col min="9990" max="9990" width="8.796875" bestFit="1" customWidth="1"/>
    <col min="9991" max="9991" width="11.19921875" customWidth="1"/>
    <col min="9992" max="9992" width="16.53125" customWidth="1"/>
    <col min="9993" max="9993" width="7.53125" customWidth="1"/>
    <col min="9994" max="9994" width="8" customWidth="1"/>
    <col min="9995" max="9996" width="8.19921875" customWidth="1"/>
    <col min="9997" max="9997" width="6.53125" customWidth="1"/>
    <col min="9998" max="9998" width="8" customWidth="1"/>
    <col min="9999" max="9999" width="7.53125" customWidth="1"/>
    <col min="10000" max="10239" width="9.19921875"/>
    <col min="10240" max="10240" width="12.796875" customWidth="1"/>
    <col min="10241" max="10241" width="7.796875" bestFit="1" customWidth="1"/>
    <col min="10242" max="10242" width="5.19921875" customWidth="1"/>
    <col min="10243" max="10243" width="4.46484375" customWidth="1"/>
    <col min="10244" max="10244" width="11.46484375" customWidth="1"/>
    <col min="10245" max="10245" width="9.796875" customWidth="1"/>
    <col min="10246" max="10246" width="8.796875" bestFit="1" customWidth="1"/>
    <col min="10247" max="10247" width="11.19921875" customWidth="1"/>
    <col min="10248" max="10248" width="16.53125" customWidth="1"/>
    <col min="10249" max="10249" width="7.53125" customWidth="1"/>
    <col min="10250" max="10250" width="8" customWidth="1"/>
    <col min="10251" max="10252" width="8.19921875" customWidth="1"/>
    <col min="10253" max="10253" width="6.53125" customWidth="1"/>
    <col min="10254" max="10254" width="8" customWidth="1"/>
    <col min="10255" max="10255" width="7.53125" customWidth="1"/>
    <col min="10256" max="10495" width="9.19921875"/>
    <col min="10496" max="10496" width="12.796875" customWidth="1"/>
    <col min="10497" max="10497" width="7.796875" bestFit="1" customWidth="1"/>
    <col min="10498" max="10498" width="5.19921875" customWidth="1"/>
    <col min="10499" max="10499" width="4.46484375" customWidth="1"/>
    <col min="10500" max="10500" width="11.46484375" customWidth="1"/>
    <col min="10501" max="10501" width="9.796875" customWidth="1"/>
    <col min="10502" max="10502" width="8.796875" bestFit="1" customWidth="1"/>
    <col min="10503" max="10503" width="11.19921875" customWidth="1"/>
    <col min="10504" max="10504" width="16.53125" customWidth="1"/>
    <col min="10505" max="10505" width="7.53125" customWidth="1"/>
    <col min="10506" max="10506" width="8" customWidth="1"/>
    <col min="10507" max="10508" width="8.19921875" customWidth="1"/>
    <col min="10509" max="10509" width="6.53125" customWidth="1"/>
    <col min="10510" max="10510" width="8" customWidth="1"/>
    <col min="10511" max="10511" width="7.53125" customWidth="1"/>
    <col min="10512" max="10751" width="9.19921875"/>
    <col min="10752" max="10752" width="12.796875" customWidth="1"/>
    <col min="10753" max="10753" width="7.796875" bestFit="1" customWidth="1"/>
    <col min="10754" max="10754" width="5.19921875" customWidth="1"/>
    <col min="10755" max="10755" width="4.46484375" customWidth="1"/>
    <col min="10756" max="10756" width="11.46484375" customWidth="1"/>
    <col min="10757" max="10757" width="9.796875" customWidth="1"/>
    <col min="10758" max="10758" width="8.796875" bestFit="1" customWidth="1"/>
    <col min="10759" max="10759" width="11.19921875" customWidth="1"/>
    <col min="10760" max="10760" width="16.53125" customWidth="1"/>
    <col min="10761" max="10761" width="7.53125" customWidth="1"/>
    <col min="10762" max="10762" width="8" customWidth="1"/>
    <col min="10763" max="10764" width="8.19921875" customWidth="1"/>
    <col min="10765" max="10765" width="6.53125" customWidth="1"/>
    <col min="10766" max="10766" width="8" customWidth="1"/>
    <col min="10767" max="10767" width="7.53125" customWidth="1"/>
    <col min="10768" max="11007" width="9.19921875"/>
    <col min="11008" max="11008" width="12.796875" customWidth="1"/>
    <col min="11009" max="11009" width="7.796875" bestFit="1" customWidth="1"/>
    <col min="11010" max="11010" width="5.19921875" customWidth="1"/>
    <col min="11011" max="11011" width="4.46484375" customWidth="1"/>
    <col min="11012" max="11012" width="11.46484375" customWidth="1"/>
    <col min="11013" max="11013" width="9.796875" customWidth="1"/>
    <col min="11014" max="11014" width="8.796875" bestFit="1" customWidth="1"/>
    <col min="11015" max="11015" width="11.19921875" customWidth="1"/>
    <col min="11016" max="11016" width="16.53125" customWidth="1"/>
    <col min="11017" max="11017" width="7.53125" customWidth="1"/>
    <col min="11018" max="11018" width="8" customWidth="1"/>
    <col min="11019" max="11020" width="8.19921875" customWidth="1"/>
    <col min="11021" max="11021" width="6.53125" customWidth="1"/>
    <col min="11022" max="11022" width="8" customWidth="1"/>
    <col min="11023" max="11023" width="7.53125" customWidth="1"/>
    <col min="11024" max="11263" width="9.19921875"/>
    <col min="11264" max="11264" width="12.796875" customWidth="1"/>
    <col min="11265" max="11265" width="7.796875" bestFit="1" customWidth="1"/>
    <col min="11266" max="11266" width="5.19921875" customWidth="1"/>
    <col min="11267" max="11267" width="4.46484375" customWidth="1"/>
    <col min="11268" max="11268" width="11.46484375" customWidth="1"/>
    <col min="11269" max="11269" width="9.796875" customWidth="1"/>
    <col min="11270" max="11270" width="8.796875" bestFit="1" customWidth="1"/>
    <col min="11271" max="11271" width="11.19921875" customWidth="1"/>
    <col min="11272" max="11272" width="16.53125" customWidth="1"/>
    <col min="11273" max="11273" width="7.53125" customWidth="1"/>
    <col min="11274" max="11274" width="8" customWidth="1"/>
    <col min="11275" max="11276" width="8.19921875" customWidth="1"/>
    <col min="11277" max="11277" width="6.53125" customWidth="1"/>
    <col min="11278" max="11278" width="8" customWidth="1"/>
    <col min="11279" max="11279" width="7.53125" customWidth="1"/>
    <col min="11280" max="11519" width="9.19921875"/>
    <col min="11520" max="11520" width="12.796875" customWidth="1"/>
    <col min="11521" max="11521" width="7.796875" bestFit="1" customWidth="1"/>
    <col min="11522" max="11522" width="5.19921875" customWidth="1"/>
    <col min="11523" max="11523" width="4.46484375" customWidth="1"/>
    <col min="11524" max="11524" width="11.46484375" customWidth="1"/>
    <col min="11525" max="11525" width="9.796875" customWidth="1"/>
    <col min="11526" max="11526" width="8.796875" bestFit="1" customWidth="1"/>
    <col min="11527" max="11527" width="11.19921875" customWidth="1"/>
    <col min="11528" max="11528" width="16.53125" customWidth="1"/>
    <col min="11529" max="11529" width="7.53125" customWidth="1"/>
    <col min="11530" max="11530" width="8" customWidth="1"/>
    <col min="11531" max="11532" width="8.19921875" customWidth="1"/>
    <col min="11533" max="11533" width="6.53125" customWidth="1"/>
    <col min="11534" max="11534" width="8" customWidth="1"/>
    <col min="11535" max="11535" width="7.53125" customWidth="1"/>
    <col min="11536" max="11775" width="9.19921875"/>
    <col min="11776" max="11776" width="12.796875" customWidth="1"/>
    <col min="11777" max="11777" width="7.796875" bestFit="1" customWidth="1"/>
    <col min="11778" max="11778" width="5.19921875" customWidth="1"/>
    <col min="11779" max="11779" width="4.46484375" customWidth="1"/>
    <col min="11780" max="11780" width="11.46484375" customWidth="1"/>
    <col min="11781" max="11781" width="9.796875" customWidth="1"/>
    <col min="11782" max="11782" width="8.796875" bestFit="1" customWidth="1"/>
    <col min="11783" max="11783" width="11.19921875" customWidth="1"/>
    <col min="11784" max="11784" width="16.53125" customWidth="1"/>
    <col min="11785" max="11785" width="7.53125" customWidth="1"/>
    <col min="11786" max="11786" width="8" customWidth="1"/>
    <col min="11787" max="11788" width="8.19921875" customWidth="1"/>
    <col min="11789" max="11789" width="6.53125" customWidth="1"/>
    <col min="11790" max="11790" width="8" customWidth="1"/>
    <col min="11791" max="11791" width="7.53125" customWidth="1"/>
    <col min="11792" max="12031" width="9.19921875"/>
    <col min="12032" max="12032" width="12.796875" customWidth="1"/>
    <col min="12033" max="12033" width="7.796875" bestFit="1" customWidth="1"/>
    <col min="12034" max="12034" width="5.19921875" customWidth="1"/>
    <col min="12035" max="12035" width="4.46484375" customWidth="1"/>
    <col min="12036" max="12036" width="11.46484375" customWidth="1"/>
    <col min="12037" max="12037" width="9.796875" customWidth="1"/>
    <col min="12038" max="12038" width="8.796875" bestFit="1" customWidth="1"/>
    <col min="12039" max="12039" width="11.19921875" customWidth="1"/>
    <col min="12040" max="12040" width="16.53125" customWidth="1"/>
    <col min="12041" max="12041" width="7.53125" customWidth="1"/>
    <col min="12042" max="12042" width="8" customWidth="1"/>
    <col min="12043" max="12044" width="8.19921875" customWidth="1"/>
    <col min="12045" max="12045" width="6.53125" customWidth="1"/>
    <col min="12046" max="12046" width="8" customWidth="1"/>
    <col min="12047" max="12047" width="7.53125" customWidth="1"/>
    <col min="12048" max="12287" width="9.19921875"/>
    <col min="12288" max="12288" width="12.796875" customWidth="1"/>
    <col min="12289" max="12289" width="7.796875" bestFit="1" customWidth="1"/>
    <col min="12290" max="12290" width="5.19921875" customWidth="1"/>
    <col min="12291" max="12291" width="4.46484375" customWidth="1"/>
    <col min="12292" max="12292" width="11.46484375" customWidth="1"/>
    <col min="12293" max="12293" width="9.796875" customWidth="1"/>
    <col min="12294" max="12294" width="8.796875" bestFit="1" customWidth="1"/>
    <col min="12295" max="12295" width="11.19921875" customWidth="1"/>
    <col min="12296" max="12296" width="16.53125" customWidth="1"/>
    <col min="12297" max="12297" width="7.53125" customWidth="1"/>
    <col min="12298" max="12298" width="8" customWidth="1"/>
    <col min="12299" max="12300" width="8.19921875" customWidth="1"/>
    <col min="12301" max="12301" width="6.53125" customWidth="1"/>
    <col min="12302" max="12302" width="8" customWidth="1"/>
    <col min="12303" max="12303" width="7.53125" customWidth="1"/>
    <col min="12304" max="12543" width="9.19921875"/>
    <col min="12544" max="12544" width="12.796875" customWidth="1"/>
    <col min="12545" max="12545" width="7.796875" bestFit="1" customWidth="1"/>
    <col min="12546" max="12546" width="5.19921875" customWidth="1"/>
    <col min="12547" max="12547" width="4.46484375" customWidth="1"/>
    <col min="12548" max="12548" width="11.46484375" customWidth="1"/>
    <col min="12549" max="12549" width="9.796875" customWidth="1"/>
    <col min="12550" max="12550" width="8.796875" bestFit="1" customWidth="1"/>
    <col min="12551" max="12551" width="11.19921875" customWidth="1"/>
    <col min="12552" max="12552" width="16.53125" customWidth="1"/>
    <col min="12553" max="12553" width="7.53125" customWidth="1"/>
    <col min="12554" max="12554" width="8" customWidth="1"/>
    <col min="12555" max="12556" width="8.19921875" customWidth="1"/>
    <col min="12557" max="12557" width="6.53125" customWidth="1"/>
    <col min="12558" max="12558" width="8" customWidth="1"/>
    <col min="12559" max="12559" width="7.53125" customWidth="1"/>
    <col min="12560" max="12799" width="9.19921875"/>
    <col min="12800" max="12800" width="12.796875" customWidth="1"/>
    <col min="12801" max="12801" width="7.796875" bestFit="1" customWidth="1"/>
    <col min="12802" max="12802" width="5.19921875" customWidth="1"/>
    <col min="12803" max="12803" width="4.46484375" customWidth="1"/>
    <col min="12804" max="12804" width="11.46484375" customWidth="1"/>
    <col min="12805" max="12805" width="9.796875" customWidth="1"/>
    <col min="12806" max="12806" width="8.796875" bestFit="1" customWidth="1"/>
    <col min="12807" max="12807" width="11.19921875" customWidth="1"/>
    <col min="12808" max="12808" width="16.53125" customWidth="1"/>
    <col min="12809" max="12809" width="7.53125" customWidth="1"/>
    <col min="12810" max="12810" width="8" customWidth="1"/>
    <col min="12811" max="12812" width="8.19921875" customWidth="1"/>
    <col min="12813" max="12813" width="6.53125" customWidth="1"/>
    <col min="12814" max="12814" width="8" customWidth="1"/>
    <col min="12815" max="12815" width="7.53125" customWidth="1"/>
    <col min="12816" max="13055" width="9.19921875"/>
    <col min="13056" max="13056" width="12.796875" customWidth="1"/>
    <col min="13057" max="13057" width="7.796875" bestFit="1" customWidth="1"/>
    <col min="13058" max="13058" width="5.19921875" customWidth="1"/>
    <col min="13059" max="13059" width="4.46484375" customWidth="1"/>
    <col min="13060" max="13060" width="11.46484375" customWidth="1"/>
    <col min="13061" max="13061" width="9.796875" customWidth="1"/>
    <col min="13062" max="13062" width="8.796875" bestFit="1" customWidth="1"/>
    <col min="13063" max="13063" width="11.19921875" customWidth="1"/>
    <col min="13064" max="13064" width="16.53125" customWidth="1"/>
    <col min="13065" max="13065" width="7.53125" customWidth="1"/>
    <col min="13066" max="13066" width="8" customWidth="1"/>
    <col min="13067" max="13068" width="8.19921875" customWidth="1"/>
    <col min="13069" max="13069" width="6.53125" customWidth="1"/>
    <col min="13070" max="13070" width="8" customWidth="1"/>
    <col min="13071" max="13071" width="7.53125" customWidth="1"/>
    <col min="13072" max="13311" width="9.19921875"/>
    <col min="13312" max="13312" width="12.796875" customWidth="1"/>
    <col min="13313" max="13313" width="7.796875" bestFit="1" customWidth="1"/>
    <col min="13314" max="13314" width="5.19921875" customWidth="1"/>
    <col min="13315" max="13315" width="4.46484375" customWidth="1"/>
    <col min="13316" max="13316" width="11.46484375" customWidth="1"/>
    <col min="13317" max="13317" width="9.796875" customWidth="1"/>
    <col min="13318" max="13318" width="8.796875" bestFit="1" customWidth="1"/>
    <col min="13319" max="13319" width="11.19921875" customWidth="1"/>
    <col min="13320" max="13320" width="16.53125" customWidth="1"/>
    <col min="13321" max="13321" width="7.53125" customWidth="1"/>
    <col min="13322" max="13322" width="8" customWidth="1"/>
    <col min="13323" max="13324" width="8.19921875" customWidth="1"/>
    <col min="13325" max="13325" width="6.53125" customWidth="1"/>
    <col min="13326" max="13326" width="8" customWidth="1"/>
    <col min="13327" max="13327" width="7.53125" customWidth="1"/>
    <col min="13328" max="13567" width="9.19921875"/>
    <col min="13568" max="13568" width="12.796875" customWidth="1"/>
    <col min="13569" max="13569" width="7.796875" bestFit="1" customWidth="1"/>
    <col min="13570" max="13570" width="5.19921875" customWidth="1"/>
    <col min="13571" max="13571" width="4.46484375" customWidth="1"/>
    <col min="13572" max="13572" width="11.46484375" customWidth="1"/>
    <col min="13573" max="13573" width="9.796875" customWidth="1"/>
    <col min="13574" max="13574" width="8.796875" bestFit="1" customWidth="1"/>
    <col min="13575" max="13575" width="11.19921875" customWidth="1"/>
    <col min="13576" max="13576" width="16.53125" customWidth="1"/>
    <col min="13577" max="13577" width="7.53125" customWidth="1"/>
    <col min="13578" max="13578" width="8" customWidth="1"/>
    <col min="13579" max="13580" width="8.19921875" customWidth="1"/>
    <col min="13581" max="13581" width="6.53125" customWidth="1"/>
    <col min="13582" max="13582" width="8" customWidth="1"/>
    <col min="13583" max="13583" width="7.53125" customWidth="1"/>
    <col min="13584" max="13823" width="9.19921875"/>
    <col min="13824" max="13824" width="12.796875" customWidth="1"/>
    <col min="13825" max="13825" width="7.796875" bestFit="1" customWidth="1"/>
    <col min="13826" max="13826" width="5.19921875" customWidth="1"/>
    <col min="13827" max="13827" width="4.46484375" customWidth="1"/>
    <col min="13828" max="13828" width="11.46484375" customWidth="1"/>
    <col min="13829" max="13829" width="9.796875" customWidth="1"/>
    <col min="13830" max="13830" width="8.796875" bestFit="1" customWidth="1"/>
    <col min="13831" max="13831" width="11.19921875" customWidth="1"/>
    <col min="13832" max="13832" width="16.53125" customWidth="1"/>
    <col min="13833" max="13833" width="7.53125" customWidth="1"/>
    <col min="13834" max="13834" width="8" customWidth="1"/>
    <col min="13835" max="13836" width="8.19921875" customWidth="1"/>
    <col min="13837" max="13837" width="6.53125" customWidth="1"/>
    <col min="13838" max="13838" width="8" customWidth="1"/>
    <col min="13839" max="13839" width="7.53125" customWidth="1"/>
    <col min="13840" max="14079" width="9.19921875"/>
    <col min="14080" max="14080" width="12.796875" customWidth="1"/>
    <col min="14081" max="14081" width="7.796875" bestFit="1" customWidth="1"/>
    <col min="14082" max="14082" width="5.19921875" customWidth="1"/>
    <col min="14083" max="14083" width="4.46484375" customWidth="1"/>
    <col min="14084" max="14084" width="11.46484375" customWidth="1"/>
    <col min="14085" max="14085" width="9.796875" customWidth="1"/>
    <col min="14086" max="14086" width="8.796875" bestFit="1" customWidth="1"/>
    <col min="14087" max="14087" width="11.19921875" customWidth="1"/>
    <col min="14088" max="14088" width="16.53125" customWidth="1"/>
    <col min="14089" max="14089" width="7.53125" customWidth="1"/>
    <col min="14090" max="14090" width="8" customWidth="1"/>
    <col min="14091" max="14092" width="8.19921875" customWidth="1"/>
    <col min="14093" max="14093" width="6.53125" customWidth="1"/>
    <col min="14094" max="14094" width="8" customWidth="1"/>
    <col min="14095" max="14095" width="7.53125" customWidth="1"/>
    <col min="14096" max="14335" width="9.19921875"/>
    <col min="14336" max="14336" width="12.796875" customWidth="1"/>
    <col min="14337" max="14337" width="7.796875" bestFit="1" customWidth="1"/>
    <col min="14338" max="14338" width="5.19921875" customWidth="1"/>
    <col min="14339" max="14339" width="4.46484375" customWidth="1"/>
    <col min="14340" max="14340" width="11.46484375" customWidth="1"/>
    <col min="14341" max="14341" width="9.796875" customWidth="1"/>
    <col min="14342" max="14342" width="8.796875" bestFit="1" customWidth="1"/>
    <col min="14343" max="14343" width="11.19921875" customWidth="1"/>
    <col min="14344" max="14344" width="16.53125" customWidth="1"/>
    <col min="14345" max="14345" width="7.53125" customWidth="1"/>
    <col min="14346" max="14346" width="8" customWidth="1"/>
    <col min="14347" max="14348" width="8.19921875" customWidth="1"/>
    <col min="14349" max="14349" width="6.53125" customWidth="1"/>
    <col min="14350" max="14350" width="8" customWidth="1"/>
    <col min="14351" max="14351" width="7.53125" customWidth="1"/>
    <col min="14352" max="14591" width="9.19921875"/>
    <col min="14592" max="14592" width="12.796875" customWidth="1"/>
    <col min="14593" max="14593" width="7.796875" bestFit="1" customWidth="1"/>
    <col min="14594" max="14594" width="5.19921875" customWidth="1"/>
    <col min="14595" max="14595" width="4.46484375" customWidth="1"/>
    <col min="14596" max="14596" width="11.46484375" customWidth="1"/>
    <col min="14597" max="14597" width="9.796875" customWidth="1"/>
    <col min="14598" max="14598" width="8.796875" bestFit="1" customWidth="1"/>
    <col min="14599" max="14599" width="11.19921875" customWidth="1"/>
    <col min="14600" max="14600" width="16.53125" customWidth="1"/>
    <col min="14601" max="14601" width="7.53125" customWidth="1"/>
    <col min="14602" max="14602" width="8" customWidth="1"/>
    <col min="14603" max="14604" width="8.19921875" customWidth="1"/>
    <col min="14605" max="14605" width="6.53125" customWidth="1"/>
    <col min="14606" max="14606" width="8" customWidth="1"/>
    <col min="14607" max="14607" width="7.53125" customWidth="1"/>
    <col min="14608" max="14847" width="9.19921875"/>
    <col min="14848" max="14848" width="12.796875" customWidth="1"/>
    <col min="14849" max="14849" width="7.796875" bestFit="1" customWidth="1"/>
    <col min="14850" max="14850" width="5.19921875" customWidth="1"/>
    <col min="14851" max="14851" width="4.46484375" customWidth="1"/>
    <col min="14852" max="14852" width="11.46484375" customWidth="1"/>
    <col min="14853" max="14853" width="9.796875" customWidth="1"/>
    <col min="14854" max="14854" width="8.796875" bestFit="1" customWidth="1"/>
    <col min="14855" max="14855" width="11.19921875" customWidth="1"/>
    <col min="14856" max="14856" width="16.53125" customWidth="1"/>
    <col min="14857" max="14857" width="7.53125" customWidth="1"/>
    <col min="14858" max="14858" width="8" customWidth="1"/>
    <col min="14859" max="14860" width="8.19921875" customWidth="1"/>
    <col min="14861" max="14861" width="6.53125" customWidth="1"/>
    <col min="14862" max="14862" width="8" customWidth="1"/>
    <col min="14863" max="14863" width="7.53125" customWidth="1"/>
    <col min="14864" max="15103" width="9.19921875"/>
    <col min="15104" max="15104" width="12.796875" customWidth="1"/>
    <col min="15105" max="15105" width="7.796875" bestFit="1" customWidth="1"/>
    <col min="15106" max="15106" width="5.19921875" customWidth="1"/>
    <col min="15107" max="15107" width="4.46484375" customWidth="1"/>
    <col min="15108" max="15108" width="11.46484375" customWidth="1"/>
    <col min="15109" max="15109" width="9.796875" customWidth="1"/>
    <col min="15110" max="15110" width="8.796875" bestFit="1" customWidth="1"/>
    <col min="15111" max="15111" width="11.19921875" customWidth="1"/>
    <col min="15112" max="15112" width="16.53125" customWidth="1"/>
    <col min="15113" max="15113" width="7.53125" customWidth="1"/>
    <col min="15114" max="15114" width="8" customWidth="1"/>
    <col min="15115" max="15116" width="8.19921875" customWidth="1"/>
    <col min="15117" max="15117" width="6.53125" customWidth="1"/>
    <col min="15118" max="15118" width="8" customWidth="1"/>
    <col min="15119" max="15119" width="7.53125" customWidth="1"/>
    <col min="15120" max="15359" width="9.19921875"/>
    <col min="15360" max="15360" width="12.796875" customWidth="1"/>
    <col min="15361" max="15361" width="7.796875" bestFit="1" customWidth="1"/>
    <col min="15362" max="15362" width="5.19921875" customWidth="1"/>
    <col min="15363" max="15363" width="4.46484375" customWidth="1"/>
    <col min="15364" max="15364" width="11.46484375" customWidth="1"/>
    <col min="15365" max="15365" width="9.796875" customWidth="1"/>
    <col min="15366" max="15366" width="8.796875" bestFit="1" customWidth="1"/>
    <col min="15367" max="15367" width="11.19921875" customWidth="1"/>
    <col min="15368" max="15368" width="16.53125" customWidth="1"/>
    <col min="15369" max="15369" width="7.53125" customWidth="1"/>
    <col min="15370" max="15370" width="8" customWidth="1"/>
    <col min="15371" max="15372" width="8.19921875" customWidth="1"/>
    <col min="15373" max="15373" width="6.53125" customWidth="1"/>
    <col min="15374" max="15374" width="8" customWidth="1"/>
    <col min="15375" max="15375" width="7.53125" customWidth="1"/>
    <col min="15376" max="15615" width="9.19921875"/>
    <col min="15616" max="15616" width="12.796875" customWidth="1"/>
    <col min="15617" max="15617" width="7.796875" bestFit="1" customWidth="1"/>
    <col min="15618" max="15618" width="5.19921875" customWidth="1"/>
    <col min="15619" max="15619" width="4.46484375" customWidth="1"/>
    <col min="15620" max="15620" width="11.46484375" customWidth="1"/>
    <col min="15621" max="15621" width="9.796875" customWidth="1"/>
    <col min="15622" max="15622" width="8.796875" bestFit="1" customWidth="1"/>
    <col min="15623" max="15623" width="11.19921875" customWidth="1"/>
    <col min="15624" max="15624" width="16.53125" customWidth="1"/>
    <col min="15625" max="15625" width="7.53125" customWidth="1"/>
    <col min="15626" max="15626" width="8" customWidth="1"/>
    <col min="15627" max="15628" width="8.19921875" customWidth="1"/>
    <col min="15629" max="15629" width="6.53125" customWidth="1"/>
    <col min="15630" max="15630" width="8" customWidth="1"/>
    <col min="15631" max="15631" width="7.53125" customWidth="1"/>
    <col min="15632" max="15871" width="9.19921875"/>
    <col min="15872" max="15872" width="12.796875" customWidth="1"/>
    <col min="15873" max="15873" width="7.796875" bestFit="1" customWidth="1"/>
    <col min="15874" max="15874" width="5.19921875" customWidth="1"/>
    <col min="15875" max="15875" width="4.46484375" customWidth="1"/>
    <col min="15876" max="15876" width="11.46484375" customWidth="1"/>
    <col min="15877" max="15877" width="9.796875" customWidth="1"/>
    <col min="15878" max="15878" width="8.796875" bestFit="1" customWidth="1"/>
    <col min="15879" max="15879" width="11.19921875" customWidth="1"/>
    <col min="15880" max="15880" width="16.53125" customWidth="1"/>
    <col min="15881" max="15881" width="7.53125" customWidth="1"/>
    <col min="15882" max="15882" width="8" customWidth="1"/>
    <col min="15883" max="15884" width="8.19921875" customWidth="1"/>
    <col min="15885" max="15885" width="6.53125" customWidth="1"/>
    <col min="15886" max="15886" width="8" customWidth="1"/>
    <col min="15887" max="15887" width="7.53125" customWidth="1"/>
    <col min="15888" max="16127" width="9.19921875"/>
    <col min="16128" max="16128" width="12.796875" customWidth="1"/>
    <col min="16129" max="16129" width="7.796875" bestFit="1" customWidth="1"/>
    <col min="16130" max="16130" width="5.19921875" customWidth="1"/>
    <col min="16131" max="16131" width="4.46484375" customWidth="1"/>
    <col min="16132" max="16132" width="11.46484375" customWidth="1"/>
    <col min="16133" max="16133" width="9.796875" customWidth="1"/>
    <col min="16134" max="16134" width="8.796875" bestFit="1" customWidth="1"/>
    <col min="16135" max="16135" width="11.19921875" customWidth="1"/>
    <col min="16136" max="16136" width="16.53125" customWidth="1"/>
    <col min="16137" max="16137" width="7.53125" customWidth="1"/>
    <col min="16138" max="16138" width="8" customWidth="1"/>
    <col min="16139" max="16140" width="8.19921875" customWidth="1"/>
    <col min="16141" max="16141" width="6.53125" customWidth="1"/>
    <col min="16142" max="16142" width="8" customWidth="1"/>
    <col min="16143" max="16143" width="7.53125" customWidth="1"/>
    <col min="16144" max="16384" width="9.19921875"/>
  </cols>
  <sheetData>
    <row r="1" spans="1:15">
      <c r="A1" s="1807" t="s">
        <v>1803</v>
      </c>
      <c r="B1" s="1807"/>
      <c r="C1" s="478"/>
    </row>
    <row r="2" spans="1:15">
      <c r="A2" s="241" t="str">
        <f>+'BS1'!A2</f>
        <v>NIDP DEVELOPERS PRIVATE LIMITED</v>
      </c>
      <c r="B2" s="176"/>
      <c r="C2" s="176"/>
      <c r="D2" s="176"/>
      <c r="E2" s="176"/>
      <c r="F2" s="176"/>
      <c r="G2" s="176"/>
      <c r="H2" s="176"/>
      <c r="I2" s="176"/>
      <c r="J2" s="176"/>
      <c r="K2" s="176"/>
      <c r="L2" s="176"/>
      <c r="M2" s="176"/>
      <c r="N2" s="176"/>
      <c r="O2" s="176"/>
    </row>
    <row r="3" spans="1:15">
      <c r="A3" s="215" t="s">
        <v>537</v>
      </c>
      <c r="B3" s="215"/>
      <c r="C3" s="215"/>
      <c r="D3" s="215"/>
      <c r="E3" s="215"/>
      <c r="F3" s="215"/>
      <c r="G3" s="215"/>
      <c r="H3" s="215"/>
      <c r="I3" s="215"/>
      <c r="J3" s="215"/>
      <c r="K3" s="174"/>
      <c r="L3" s="174"/>
      <c r="M3" s="174"/>
      <c r="N3" s="174"/>
      <c r="O3" s="174"/>
    </row>
    <row r="4" spans="1:15" ht="8.5500000000000007" customHeight="1">
      <c r="B4" s="2"/>
      <c r="C4" s="2"/>
      <c r="L4" s="2"/>
    </row>
    <row r="5" spans="1:15" ht="57">
      <c r="A5" s="182" t="s">
        <v>538</v>
      </c>
      <c r="B5" s="182" t="s">
        <v>539</v>
      </c>
      <c r="C5" s="182" t="s">
        <v>1559</v>
      </c>
      <c r="D5" s="182" t="s">
        <v>1560</v>
      </c>
      <c r="E5" s="182" t="s">
        <v>540</v>
      </c>
      <c r="F5" s="182" t="s">
        <v>541</v>
      </c>
      <c r="G5" s="182" t="s">
        <v>542</v>
      </c>
      <c r="H5" s="182" t="s">
        <v>543</v>
      </c>
      <c r="I5" s="182" t="s">
        <v>544</v>
      </c>
      <c r="J5" s="182" t="s">
        <v>545</v>
      </c>
      <c r="L5" s="2"/>
    </row>
    <row r="6" spans="1:15">
      <c r="A6" s="812"/>
      <c r="B6" s="1808" t="s">
        <v>343</v>
      </c>
      <c r="C6" s="1809"/>
      <c r="D6" s="1809"/>
      <c r="E6" s="1809"/>
      <c r="F6" s="1809"/>
      <c r="G6" s="1809"/>
      <c r="H6" s="1809"/>
      <c r="I6" s="1809"/>
      <c r="J6" s="1810"/>
      <c r="L6" s="2"/>
    </row>
    <row r="7" spans="1:15">
      <c r="A7" s="196" t="s">
        <v>2127</v>
      </c>
      <c r="B7" s="196" t="s">
        <v>2128</v>
      </c>
      <c r="C7" s="196" t="s">
        <v>2129</v>
      </c>
      <c r="D7" s="68" t="s">
        <v>2126</v>
      </c>
      <c r="E7" s="936">
        <v>45587</v>
      </c>
      <c r="F7" s="196">
        <v>5</v>
      </c>
      <c r="G7" s="937">
        <f>(136/365)</f>
        <v>0.37260273972602742</v>
      </c>
      <c r="H7" s="938">
        <v>1</v>
      </c>
      <c r="I7" s="196">
        <v>5.45</v>
      </c>
      <c r="J7" s="597">
        <f>+F1_PP_Annual!J170</f>
        <v>14.428750000000001</v>
      </c>
      <c r="L7" s="2"/>
    </row>
    <row r="8" spans="1:15">
      <c r="A8" s="196"/>
      <c r="B8" s="196"/>
      <c r="C8" s="196"/>
      <c r="D8" s="68"/>
      <c r="E8" s="196"/>
      <c r="F8" s="196"/>
      <c r="G8" s="68"/>
      <c r="H8" s="68"/>
      <c r="I8" s="196"/>
      <c r="J8" s="196"/>
      <c r="L8" s="2"/>
    </row>
    <row r="9" spans="1:15">
      <c r="A9" s="196"/>
      <c r="B9" s="196"/>
      <c r="C9" s="196"/>
      <c r="D9" s="68"/>
      <c r="E9" s="196"/>
      <c r="F9" s="196"/>
      <c r="G9" s="68"/>
      <c r="H9" s="68"/>
      <c r="I9" s="196"/>
      <c r="J9" s="196"/>
      <c r="L9" s="2"/>
    </row>
    <row r="10" spans="1:15">
      <c r="A10" s="196"/>
      <c r="B10" s="1811" t="s">
        <v>1442</v>
      </c>
      <c r="C10" s="1812"/>
      <c r="D10" s="1812"/>
      <c r="E10" s="1812"/>
      <c r="F10" s="1812"/>
      <c r="G10" s="1812"/>
      <c r="H10" s="1812"/>
      <c r="I10" s="1812"/>
      <c r="J10" s="1813"/>
      <c r="L10" s="2"/>
    </row>
    <row r="11" spans="1:15">
      <c r="A11" s="196" t="s">
        <v>2127</v>
      </c>
      <c r="B11" s="196" t="s">
        <v>2128</v>
      </c>
      <c r="C11" s="196" t="s">
        <v>2129</v>
      </c>
      <c r="D11" s="68" t="s">
        <v>2126</v>
      </c>
      <c r="E11" s="936">
        <v>45587</v>
      </c>
      <c r="F11" s="196">
        <v>5</v>
      </c>
      <c r="G11" s="937">
        <f>(136/365)</f>
        <v>0.37260273972602742</v>
      </c>
      <c r="H11" s="938">
        <v>1</v>
      </c>
      <c r="I11" s="196">
        <v>5.45</v>
      </c>
      <c r="J11" s="673">
        <f>+[3]Data!$P$83</f>
        <v>1.516648</v>
      </c>
      <c r="L11" s="2"/>
    </row>
    <row r="12" spans="1:15">
      <c r="A12" s="196" t="s">
        <v>2130</v>
      </c>
      <c r="B12" s="196" t="s">
        <v>2128</v>
      </c>
      <c r="C12" s="196" t="s">
        <v>2129</v>
      </c>
      <c r="D12" s="68" t="s">
        <v>2126</v>
      </c>
      <c r="E12" s="936">
        <v>45720</v>
      </c>
      <c r="F12" s="196">
        <v>5</v>
      </c>
      <c r="G12" s="937">
        <f>(31+30+31)/365</f>
        <v>0.25205479452054796</v>
      </c>
      <c r="H12" s="938">
        <v>1</v>
      </c>
      <c r="I12" s="196">
        <v>5.95</v>
      </c>
      <c r="J12" s="673">
        <f>+'[3]Summary '!$E$86</f>
        <v>11.040000000000001</v>
      </c>
      <c r="L12" s="2"/>
    </row>
    <row r="13" spans="1:15">
      <c r="A13" s="196" t="s">
        <v>2127</v>
      </c>
      <c r="B13" s="196" t="s">
        <v>2128</v>
      </c>
      <c r="C13" s="196" t="s">
        <v>2129</v>
      </c>
      <c r="D13" s="68" t="s">
        <v>2126</v>
      </c>
      <c r="E13" s="936">
        <v>45884</v>
      </c>
      <c r="F13" s="196">
        <v>6</v>
      </c>
      <c r="G13" s="937">
        <f>(30+31+31+28+31)/365</f>
        <v>0.41369863013698632</v>
      </c>
      <c r="H13" s="938">
        <v>1</v>
      </c>
      <c r="I13" s="196">
        <v>5.12</v>
      </c>
      <c r="J13" s="673">
        <f>+'[3]Summary '!$E$83-J11</f>
        <v>18.482399999999998</v>
      </c>
      <c r="L13" s="2"/>
    </row>
    <row r="14" spans="1:15">
      <c r="A14" s="196"/>
      <c r="B14" s="1811" t="s">
        <v>2024</v>
      </c>
      <c r="C14" s="1812"/>
      <c r="D14" s="1812"/>
      <c r="E14" s="1812"/>
      <c r="F14" s="1812"/>
      <c r="G14" s="1812"/>
      <c r="H14" s="1812"/>
      <c r="I14" s="1812"/>
      <c r="J14" s="1813"/>
      <c r="L14" s="2"/>
    </row>
    <row r="15" spans="1:15">
      <c r="A15" s="196"/>
      <c r="B15" s="196"/>
      <c r="C15" s="196"/>
      <c r="D15" s="68"/>
      <c r="E15" s="196"/>
      <c r="F15" s="196"/>
      <c r="G15" s="68"/>
      <c r="H15" s="68"/>
      <c r="I15" s="196"/>
      <c r="J15" s="196"/>
      <c r="L15" s="2"/>
    </row>
    <row r="16" spans="1:15">
      <c r="A16" s="196"/>
      <c r="B16" s="196"/>
      <c r="C16" s="196"/>
      <c r="D16" s="68"/>
      <c r="E16" s="196"/>
      <c r="F16" s="196"/>
      <c r="G16" s="68"/>
      <c r="H16" s="68"/>
      <c r="I16" s="196"/>
      <c r="J16" s="196"/>
      <c r="L16" s="2"/>
    </row>
    <row r="17" spans="1:12">
      <c r="A17" s="196"/>
      <c r="B17" s="196"/>
      <c r="C17" s="196"/>
      <c r="D17" s="68"/>
      <c r="E17" s="196"/>
      <c r="F17" s="196"/>
      <c r="G17" s="68"/>
      <c r="H17" s="68"/>
      <c r="I17" s="196"/>
      <c r="J17" s="196"/>
      <c r="L17" s="2"/>
    </row>
    <row r="18" spans="1:12">
      <c r="A18" s="196"/>
      <c r="B18" s="196"/>
      <c r="C18" s="196"/>
      <c r="D18" s="68"/>
      <c r="E18" s="196"/>
      <c r="F18" s="196"/>
      <c r="G18" s="68"/>
      <c r="H18" s="68"/>
      <c r="I18" s="196"/>
      <c r="J18" s="196"/>
      <c r="L18" s="2"/>
    </row>
    <row r="19" spans="1:12">
      <c r="A19" s="211"/>
      <c r="B19" s="211"/>
      <c r="C19" s="211"/>
      <c r="D19" s="212"/>
      <c r="E19" s="211"/>
      <c r="F19" s="211"/>
      <c r="G19" s="212"/>
      <c r="H19" s="212"/>
      <c r="I19" s="211"/>
      <c r="J19" s="211"/>
      <c r="L19" s="2"/>
    </row>
    <row r="20" spans="1:12">
      <c r="A20" t="s">
        <v>546</v>
      </c>
      <c r="L20" s="2"/>
    </row>
    <row r="21" spans="1:12">
      <c r="A21" t="s">
        <v>547</v>
      </c>
      <c r="L21" s="2"/>
    </row>
    <row r="22" spans="1:12">
      <c r="A22" s="213"/>
      <c r="L22" s="2"/>
    </row>
  </sheetData>
  <mergeCells count="4">
    <mergeCell ref="A1:B1"/>
    <mergeCell ref="B6:J6"/>
    <mergeCell ref="B10:J10"/>
    <mergeCell ref="B14:J14"/>
  </mergeCells>
  <printOptions horizontalCentered="1"/>
  <pageMargins left="0.70866141732283472" right="0.70866141732283472" top="0.74803149606299213" bottom="0.74803149606299213" header="0.31496062992125984" footer="0.31496062992125984"/>
  <pageSetup paperSize="5" scale="11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AA645-05BE-4B57-BE4A-80F1BF8340F5}">
  <sheetPr>
    <tabColor rgb="FF00FFFF"/>
    <pageSetUpPr fitToPage="1"/>
  </sheetPr>
  <dimension ref="A1:O65"/>
  <sheetViews>
    <sheetView showGridLines="0" zoomScale="72" zoomScaleNormal="72" zoomScaleSheetLayoutView="84" workbookViewId="0">
      <selection activeCell="C9" sqref="C9"/>
    </sheetView>
  </sheetViews>
  <sheetFormatPr defaultColWidth="8.53125" defaultRowHeight="15"/>
  <cols>
    <col min="1" max="1" width="5.53125" style="1139" customWidth="1"/>
    <col min="2" max="2" width="64.53125" style="1139" customWidth="1"/>
    <col min="3" max="3" width="16" style="1154" bestFit="1" customWidth="1"/>
    <col min="4" max="6" width="15.53125" style="1139" customWidth="1"/>
    <col min="7" max="7" width="8.53125" style="1139" customWidth="1"/>
    <col min="8" max="9" width="21.796875" style="1139" customWidth="1"/>
    <col min="10" max="10" width="19.6640625" style="1139" customWidth="1"/>
    <col min="11" max="11" width="16.46484375" style="1139" customWidth="1"/>
    <col min="12" max="12" width="19.796875" style="1139" customWidth="1"/>
    <col min="13" max="13" width="4.796875" style="1139" customWidth="1"/>
    <col min="14" max="16384" width="8.53125" style="1139"/>
  </cols>
  <sheetData>
    <row r="1" spans="1:15" ht="15.75">
      <c r="A1" s="1820" t="s">
        <v>1804</v>
      </c>
      <c r="B1" s="1820"/>
      <c r="C1" s="1138"/>
      <c r="D1" s="1072"/>
      <c r="E1" s="1072"/>
      <c r="F1" s="1072"/>
      <c r="G1" s="1072"/>
      <c r="H1" s="1072"/>
      <c r="I1" s="1072"/>
      <c r="J1" s="1072"/>
      <c r="K1" s="1072"/>
      <c r="L1" s="1072"/>
      <c r="M1" s="1072"/>
      <c r="N1" s="1072"/>
      <c r="O1" s="1072"/>
    </row>
    <row r="2" spans="1:15" ht="15.75">
      <c r="A2" s="1140" t="str">
        <f>+'BS1'!A2</f>
        <v>NIDP DEVELOPERS PRIVATE LIMITED</v>
      </c>
      <c r="B2" s="1140"/>
      <c r="C2" s="1140"/>
      <c r="D2" s="1140"/>
      <c r="E2" s="1140"/>
      <c r="F2" s="1140"/>
      <c r="G2" s="1140"/>
      <c r="H2" s="1140"/>
      <c r="I2" s="1140"/>
      <c r="J2" s="1140"/>
      <c r="K2" s="1140"/>
      <c r="L2" s="1140"/>
      <c r="M2" s="1140"/>
      <c r="N2" s="1140"/>
      <c r="O2" s="1140"/>
    </row>
    <row r="3" spans="1:15" ht="15.75">
      <c r="A3" s="1141" t="s">
        <v>1794</v>
      </c>
      <c r="B3" s="1141"/>
      <c r="C3" s="1141"/>
      <c r="D3" s="1141"/>
      <c r="E3" s="1141"/>
      <c r="F3" s="1141"/>
      <c r="G3" s="1141"/>
      <c r="H3" s="1141"/>
      <c r="I3" s="1141"/>
      <c r="J3" s="1141"/>
      <c r="K3" s="1140"/>
      <c r="L3" s="1140"/>
      <c r="M3" s="1140"/>
      <c r="N3" s="1140"/>
      <c r="O3" s="1140"/>
    </row>
    <row r="4" spans="1:15">
      <c r="A4" s="1821" t="s">
        <v>2077</v>
      </c>
      <c r="B4" s="1821"/>
      <c r="C4" s="1821"/>
      <c r="D4" s="1821"/>
      <c r="E4" s="1821"/>
      <c r="F4" s="1821"/>
    </row>
    <row r="5" spans="1:15" ht="14.55" customHeight="1">
      <c r="A5" s="1142"/>
      <c r="B5" s="1142"/>
      <c r="C5" s="1142"/>
      <c r="D5" s="1822" t="s">
        <v>338</v>
      </c>
      <c r="E5" s="1823"/>
      <c r="F5" s="1824"/>
      <c r="H5" s="1818" t="s">
        <v>10</v>
      </c>
      <c r="I5" s="1817" t="s">
        <v>1507</v>
      </c>
      <c r="J5" s="1814"/>
      <c r="K5" s="1815"/>
      <c r="L5" s="1816"/>
    </row>
    <row r="6" spans="1:15">
      <c r="A6" s="1817" t="s">
        <v>74</v>
      </c>
      <c r="B6" s="1817" t="s">
        <v>1506</v>
      </c>
      <c r="C6" s="1817" t="s">
        <v>1507</v>
      </c>
      <c r="D6" s="1142" t="s">
        <v>343</v>
      </c>
      <c r="E6" s="1142" t="s">
        <v>1442</v>
      </c>
      <c r="F6" s="1142" t="s">
        <v>2024</v>
      </c>
      <c r="H6" s="1819"/>
      <c r="I6" s="1817"/>
      <c r="J6" s="1142" t="s">
        <v>343</v>
      </c>
      <c r="K6" s="1142" t="s">
        <v>1442</v>
      </c>
      <c r="L6" s="1142" t="s">
        <v>2024</v>
      </c>
    </row>
    <row r="7" spans="1:15" ht="39" customHeight="1">
      <c r="A7" s="1817"/>
      <c r="B7" s="1817"/>
      <c r="C7" s="1817"/>
      <c r="D7" s="1142" t="s">
        <v>1508</v>
      </c>
      <c r="E7" s="1142" t="s">
        <v>1508</v>
      </c>
      <c r="F7" s="1142" t="s">
        <v>1508</v>
      </c>
      <c r="H7" s="1143" t="s">
        <v>1524</v>
      </c>
      <c r="I7" s="1144" t="s">
        <v>1521</v>
      </c>
      <c r="J7" s="1145"/>
      <c r="K7" s="1145"/>
      <c r="L7" s="1145"/>
    </row>
    <row r="8" spans="1:15" ht="30">
      <c r="A8" s="1146">
        <v>1</v>
      </c>
      <c r="B8" s="1147" t="s">
        <v>1509</v>
      </c>
      <c r="C8" s="1146" t="s">
        <v>32</v>
      </c>
      <c r="D8" s="658">
        <f>+'Energy Balance'!I8</f>
        <v>37.540040376137725</v>
      </c>
      <c r="E8" s="658">
        <f>+'Energy Balance'!K8</f>
        <v>61.157459186384557</v>
      </c>
      <c r="F8" s="658">
        <f>+'Energy Balance'!L8</f>
        <v>100.99122120000001</v>
      </c>
      <c r="G8" s="660"/>
      <c r="H8" s="1143" t="s">
        <v>1523</v>
      </c>
      <c r="I8" s="1144" t="s">
        <v>1522</v>
      </c>
      <c r="J8" s="814">
        <f>+'Energy Balance'!$I$17</f>
        <v>3.1800000000000057E-2</v>
      </c>
      <c r="K8" s="814">
        <f>+'Energy Balance'!$K$17</f>
        <v>3.1800000000000092E-2</v>
      </c>
      <c r="L8" s="814">
        <f>+'Energy Balance'!$L$17</f>
        <v>3.1800000000000044E-2</v>
      </c>
    </row>
    <row r="9" spans="1:15">
      <c r="A9" s="1146">
        <v>2</v>
      </c>
      <c r="B9" s="1147" t="s">
        <v>159</v>
      </c>
      <c r="C9" s="1146" t="s">
        <v>104</v>
      </c>
      <c r="D9" s="659">
        <f>+'Energy Balance'!I11</f>
        <v>1.8706145291897115E-2</v>
      </c>
      <c r="E9" s="659">
        <f>+'Energy Balance'!K11</f>
        <v>9.8827273120369683E-3</v>
      </c>
      <c r="F9" s="659">
        <f>+'Energy Balance'!L11</f>
        <v>9.882727312036866E-3</v>
      </c>
      <c r="G9" s="1148"/>
      <c r="H9" s="1828" t="s">
        <v>2140</v>
      </c>
      <c r="I9" s="1828"/>
      <c r="J9" s="1828"/>
      <c r="K9" s="1828"/>
      <c r="L9" s="1828"/>
    </row>
    <row r="10" spans="1:15">
      <c r="A10" s="1146">
        <v>3</v>
      </c>
      <c r="B10" s="1147" t="s">
        <v>1510</v>
      </c>
      <c r="C10" s="1146" t="s">
        <v>1537</v>
      </c>
      <c r="D10" s="658">
        <f>+D8/(1-D9)</f>
        <v>38.255656240000036</v>
      </c>
      <c r="E10" s="658">
        <f t="shared" ref="E10:F10" si="0">+E8/(1-E9)</f>
        <v>61.767894443811429</v>
      </c>
      <c r="F10" s="658">
        <f t="shared" si="0"/>
        <v>101.99925199348334</v>
      </c>
      <c r="G10" s="660"/>
      <c r="H10" s="660"/>
      <c r="I10" s="660"/>
      <c r="J10" s="660"/>
      <c r="K10" s="660"/>
      <c r="L10" s="661"/>
    </row>
    <row r="11" spans="1:15" ht="30">
      <c r="A11" s="1146">
        <v>4</v>
      </c>
      <c r="B11" s="1147" t="s">
        <v>1511</v>
      </c>
      <c r="C11" s="1146" t="s">
        <v>39</v>
      </c>
      <c r="D11" s="658"/>
      <c r="E11" s="658"/>
      <c r="F11" s="658"/>
      <c r="G11" s="660"/>
      <c r="H11" s="660"/>
      <c r="I11" s="660"/>
      <c r="J11" s="660"/>
      <c r="K11" s="660"/>
      <c r="L11" s="661"/>
    </row>
    <row r="12" spans="1:15">
      <c r="A12" s="1146">
        <v>4.0999999999999996</v>
      </c>
      <c r="B12" s="1147" t="s">
        <v>1512</v>
      </c>
      <c r="C12" s="1146" t="s">
        <v>657</v>
      </c>
      <c r="D12" s="658"/>
      <c r="E12" s="658"/>
      <c r="F12" s="658"/>
      <c r="G12" s="660"/>
      <c r="H12" s="660"/>
      <c r="I12" s="660"/>
      <c r="J12" s="660"/>
      <c r="K12" s="660"/>
      <c r="L12" s="661"/>
    </row>
    <row r="13" spans="1:15">
      <c r="A13" s="1146">
        <v>4.2</v>
      </c>
      <c r="B13" s="1147" t="s">
        <v>1513</v>
      </c>
      <c r="C13" s="1146" t="s">
        <v>667</v>
      </c>
      <c r="D13" s="658"/>
      <c r="E13" s="658"/>
      <c r="F13" s="658"/>
      <c r="G13" s="660"/>
      <c r="H13" s="660"/>
      <c r="I13" s="660"/>
      <c r="J13" s="662"/>
      <c r="K13" s="662"/>
      <c r="L13" s="662"/>
    </row>
    <row r="14" spans="1:15">
      <c r="A14" s="1146">
        <v>4.3</v>
      </c>
      <c r="B14" s="1147" t="s">
        <v>1514</v>
      </c>
      <c r="C14" s="1146" t="s">
        <v>1525</v>
      </c>
      <c r="D14" s="658">
        <f>D12*(1-J7)+D13</f>
        <v>0</v>
      </c>
      <c r="E14" s="658">
        <f t="shared" ref="E14:F14" si="1">E12*(1-K7)+E13</f>
        <v>0</v>
      </c>
      <c r="F14" s="658">
        <f t="shared" si="1"/>
        <v>0</v>
      </c>
      <c r="G14" s="660"/>
      <c r="H14" s="660"/>
      <c r="I14" s="660"/>
      <c r="J14" s="662"/>
      <c r="K14" s="662"/>
      <c r="L14" s="662"/>
    </row>
    <row r="15" spans="1:15">
      <c r="A15" s="1146">
        <v>4.4000000000000004</v>
      </c>
      <c r="B15" s="1147" t="s">
        <v>1515</v>
      </c>
      <c r="C15" s="1146" t="s">
        <v>1526</v>
      </c>
      <c r="D15" s="658">
        <f>+D14*(1-D9)</f>
        <v>0</v>
      </c>
      <c r="E15" s="658">
        <f t="shared" ref="E15:F15" si="2">+E14*(1-E9)</f>
        <v>0</v>
      </c>
      <c r="F15" s="658">
        <f t="shared" si="2"/>
        <v>0</v>
      </c>
      <c r="G15" s="660"/>
      <c r="H15" s="1149"/>
      <c r="I15" s="660"/>
      <c r="J15" s="660"/>
      <c r="K15" s="660"/>
      <c r="L15" s="661"/>
      <c r="M15" s="1150"/>
    </row>
    <row r="16" spans="1:15">
      <c r="A16" s="1146">
        <v>5</v>
      </c>
      <c r="B16" s="1147" t="s">
        <v>1516</v>
      </c>
      <c r="C16" s="1146" t="s">
        <v>1527</v>
      </c>
      <c r="D16" s="658">
        <f>+D10-D15</f>
        <v>38.255656240000036</v>
      </c>
      <c r="E16" s="658">
        <f t="shared" ref="E16:F16" si="3">+E10-E15</f>
        <v>61.767894443811429</v>
      </c>
      <c r="F16" s="658">
        <f t="shared" si="3"/>
        <v>101.99925199348334</v>
      </c>
      <c r="G16" s="660"/>
      <c r="H16" s="1149"/>
      <c r="I16" s="660"/>
      <c r="J16" s="660"/>
      <c r="K16" s="660"/>
      <c r="L16" s="661"/>
      <c r="M16" s="1150"/>
    </row>
    <row r="17" spans="1:12" ht="8" customHeight="1">
      <c r="A17" s="1146"/>
      <c r="B17" s="1147"/>
      <c r="C17" s="1146"/>
      <c r="D17" s="658"/>
      <c r="E17" s="658"/>
      <c r="F17" s="658"/>
      <c r="G17" s="660"/>
      <c r="H17" s="660"/>
      <c r="I17" s="660"/>
      <c r="J17" s="660"/>
      <c r="K17" s="660"/>
      <c r="L17" s="661"/>
    </row>
    <row r="18" spans="1:12">
      <c r="A18" s="1146">
        <v>5.0999999999999996</v>
      </c>
      <c r="B18" s="1147" t="s">
        <v>1517</v>
      </c>
      <c r="C18" s="1146"/>
      <c r="D18" s="658"/>
      <c r="E18" s="658"/>
      <c r="F18" s="658"/>
      <c r="G18" s="660"/>
      <c r="H18" s="660"/>
      <c r="I18" s="660"/>
      <c r="J18" s="662"/>
      <c r="K18" s="662"/>
      <c r="L18" s="662"/>
    </row>
    <row r="19" spans="1:12">
      <c r="A19" s="1146">
        <v>5.2</v>
      </c>
      <c r="B19" s="1147" t="s">
        <v>1518</v>
      </c>
      <c r="C19" s="1146" t="s">
        <v>90</v>
      </c>
      <c r="D19" s="659">
        <v>0.05</v>
      </c>
      <c r="E19" s="659">
        <v>0.05</v>
      </c>
      <c r="F19" s="659">
        <v>0.05</v>
      </c>
      <c r="G19" s="1148"/>
      <c r="H19" s="1151"/>
      <c r="I19" s="1148"/>
      <c r="J19" s="662"/>
      <c r="K19" s="662"/>
      <c r="L19" s="662"/>
    </row>
    <row r="20" spans="1:12">
      <c r="A20" s="1146">
        <v>5.3</v>
      </c>
      <c r="B20" s="1147" t="s">
        <v>1519</v>
      </c>
      <c r="C20" s="1146" t="s">
        <v>91</v>
      </c>
      <c r="D20" s="659">
        <v>7.0000000000000007E-2</v>
      </c>
      <c r="E20" s="659">
        <v>7.0000000000000007E-2</v>
      </c>
      <c r="F20" s="659">
        <v>7.0000000000000007E-2</v>
      </c>
      <c r="G20" s="1148"/>
      <c r="H20" s="1148"/>
      <c r="I20" s="1148"/>
      <c r="J20" s="662"/>
      <c r="K20" s="662"/>
      <c r="L20" s="662"/>
    </row>
    <row r="21" spans="1:12">
      <c r="A21" s="1146">
        <v>5.4</v>
      </c>
      <c r="B21" s="1147" t="s">
        <v>1520</v>
      </c>
      <c r="C21" s="1146" t="s">
        <v>92</v>
      </c>
      <c r="D21" s="659">
        <v>0.03</v>
      </c>
      <c r="E21" s="659">
        <v>0.03</v>
      </c>
      <c r="F21" s="659">
        <v>0.03</v>
      </c>
      <c r="G21" s="1148"/>
      <c r="H21" s="1148"/>
      <c r="I21" s="1148"/>
      <c r="J21" s="660"/>
      <c r="K21" s="660"/>
      <c r="L21" s="661"/>
    </row>
    <row r="22" spans="1:12">
      <c r="A22" s="1146">
        <v>5.5</v>
      </c>
      <c r="B22" s="1147" t="s">
        <v>2132</v>
      </c>
      <c r="C22" s="1146" t="s">
        <v>2133</v>
      </c>
      <c r="D22" s="659">
        <f>SUM(D19:D21)</f>
        <v>0.15000000000000002</v>
      </c>
      <c r="E22" s="659">
        <f t="shared" ref="E22:F22" si="4">SUM(E19:E21)</f>
        <v>0.15000000000000002</v>
      </c>
      <c r="F22" s="659">
        <f t="shared" si="4"/>
        <v>0.15000000000000002</v>
      </c>
      <c r="G22" s="1148"/>
      <c r="H22" s="1148"/>
      <c r="I22" s="1148"/>
      <c r="J22" s="660"/>
      <c r="K22" s="660"/>
      <c r="L22" s="661"/>
    </row>
    <row r="23" spans="1:12">
      <c r="A23" s="1146"/>
      <c r="B23" s="1147"/>
      <c r="C23" s="1146"/>
      <c r="D23" s="659"/>
      <c r="E23" s="659"/>
      <c r="F23" s="659"/>
      <c r="G23" s="1148"/>
      <c r="H23" s="1148"/>
      <c r="I23" s="1148"/>
      <c r="J23" s="660"/>
      <c r="K23" s="660"/>
      <c r="L23" s="661"/>
    </row>
    <row r="24" spans="1:12">
      <c r="A24" s="1146"/>
      <c r="B24" s="1825" t="s">
        <v>1558</v>
      </c>
      <c r="C24" s="1826"/>
      <c r="D24" s="1826"/>
      <c r="E24" s="1826"/>
      <c r="F24" s="1827"/>
      <c r="G24" s="660"/>
      <c r="H24" s="660"/>
      <c r="I24" s="660"/>
      <c r="J24" s="660"/>
      <c r="K24" s="660"/>
      <c r="L24" s="661"/>
    </row>
    <row r="25" spans="1:12">
      <c r="A25" s="1146">
        <v>6</v>
      </c>
      <c r="B25" s="1147" t="s">
        <v>1528</v>
      </c>
      <c r="C25" s="1146" t="s">
        <v>1541</v>
      </c>
      <c r="D25" s="658">
        <f>+D16*D19</f>
        <v>1.9127828120000019</v>
      </c>
      <c r="E25" s="658">
        <f t="shared" ref="E25:F25" si="5">+E16*E19</f>
        <v>3.0883947221905714</v>
      </c>
      <c r="F25" s="658">
        <f t="shared" si="5"/>
        <v>5.0999625996741678</v>
      </c>
      <c r="G25" s="660"/>
      <c r="H25" s="660"/>
      <c r="I25" s="660"/>
      <c r="J25" s="660"/>
      <c r="K25" s="660"/>
      <c r="L25" s="661"/>
    </row>
    <row r="26" spans="1:12">
      <c r="A26" s="1146">
        <v>6.1</v>
      </c>
      <c r="B26" s="1147" t="s">
        <v>1531</v>
      </c>
      <c r="C26" s="1146" t="s">
        <v>316</v>
      </c>
      <c r="D26" s="658"/>
      <c r="E26" s="658"/>
      <c r="F26" s="658"/>
      <c r="G26" s="660"/>
      <c r="H26" s="660"/>
      <c r="I26" s="660"/>
      <c r="J26" s="660"/>
      <c r="K26" s="660"/>
      <c r="L26" s="660"/>
    </row>
    <row r="27" spans="1:12">
      <c r="A27" s="1146">
        <v>6.2</v>
      </c>
      <c r="B27" s="1147" t="s">
        <v>1532</v>
      </c>
      <c r="C27" s="1146" t="s">
        <v>1538</v>
      </c>
      <c r="D27" s="658"/>
      <c r="E27" s="658"/>
      <c r="F27" s="658"/>
      <c r="G27" s="660"/>
      <c r="H27" s="660"/>
      <c r="I27" s="660"/>
      <c r="J27" s="660"/>
      <c r="K27" s="1152"/>
      <c r="L27" s="661"/>
    </row>
    <row r="28" spans="1:12">
      <c r="A28" s="1146">
        <v>6.3</v>
      </c>
      <c r="B28" s="1147" t="s">
        <v>1533</v>
      </c>
      <c r="C28" s="1146" t="s">
        <v>1539</v>
      </c>
      <c r="D28" s="658"/>
      <c r="E28" s="1153"/>
      <c r="F28" s="658"/>
      <c r="G28" s="660"/>
      <c r="H28" s="660"/>
      <c r="I28" s="660"/>
      <c r="J28" s="660"/>
      <c r="K28" s="1152"/>
      <c r="L28" s="661"/>
    </row>
    <row r="29" spans="1:12">
      <c r="A29" s="1146">
        <v>6.4</v>
      </c>
      <c r="B29" s="1147" t="s">
        <v>1534</v>
      </c>
      <c r="C29" s="1146" t="s">
        <v>1540</v>
      </c>
      <c r="D29" s="658"/>
      <c r="E29" s="1153"/>
      <c r="F29" s="658"/>
      <c r="G29" s="660"/>
      <c r="H29" s="660"/>
      <c r="I29" s="660"/>
      <c r="J29" s="660"/>
      <c r="K29" s="1152"/>
      <c r="L29" s="661"/>
    </row>
    <row r="30" spans="1:12">
      <c r="A30" s="1146">
        <v>6.5</v>
      </c>
      <c r="B30" s="1147" t="s">
        <v>1535</v>
      </c>
      <c r="C30" s="1146" t="s">
        <v>1545</v>
      </c>
      <c r="D30" s="658">
        <f>+D27*(1-J7)+D28</f>
        <v>0</v>
      </c>
      <c r="E30" s="658">
        <f t="shared" ref="E30:F30" si="6">+E27*(1-K7)+E28</f>
        <v>0</v>
      </c>
      <c r="F30" s="658">
        <f t="shared" si="6"/>
        <v>0</v>
      </c>
      <c r="G30" s="660"/>
      <c r="H30" s="660"/>
      <c r="I30" s="660"/>
      <c r="J30" s="662"/>
      <c r="K30" s="662"/>
      <c r="L30" s="662"/>
    </row>
    <row r="31" spans="1:12">
      <c r="A31" s="1146">
        <v>6.6</v>
      </c>
      <c r="B31" s="1147" t="s">
        <v>1536</v>
      </c>
      <c r="C31" s="1146" t="s">
        <v>1551</v>
      </c>
      <c r="D31" s="658">
        <f>+D30*(1-J8)+D29</f>
        <v>0</v>
      </c>
      <c r="E31" s="658">
        <f t="shared" ref="E31:F31" si="7">+E30*(1-K8)+E29</f>
        <v>0</v>
      </c>
      <c r="F31" s="658">
        <f t="shared" si="7"/>
        <v>0</v>
      </c>
      <c r="G31" s="660"/>
      <c r="H31" s="660"/>
      <c r="I31" s="660"/>
      <c r="J31" s="660"/>
      <c r="K31" s="660"/>
      <c r="L31" s="661"/>
    </row>
    <row r="32" spans="1:12">
      <c r="A32" s="1146">
        <v>6.7</v>
      </c>
      <c r="B32" s="1147" t="s">
        <v>1529</v>
      </c>
      <c r="C32" s="1146" t="s">
        <v>1546</v>
      </c>
      <c r="D32" s="658">
        <f>+D25-D31</f>
        <v>1.9127828120000019</v>
      </c>
      <c r="E32" s="658">
        <f t="shared" ref="E32:F32" si="8">+E25-E31</f>
        <v>3.0883947221905714</v>
      </c>
      <c r="F32" s="658">
        <f t="shared" si="8"/>
        <v>5.0999625996741678</v>
      </c>
      <c r="G32" s="660"/>
      <c r="H32" s="660"/>
      <c r="I32" s="660"/>
      <c r="J32" s="660"/>
      <c r="K32" s="660"/>
      <c r="L32" s="661"/>
    </row>
    <row r="33" spans="1:12">
      <c r="A33" s="1146"/>
      <c r="B33" s="1147"/>
      <c r="C33" s="1146"/>
      <c r="D33" s="658"/>
      <c r="E33" s="658"/>
      <c r="F33" s="658"/>
      <c r="G33" s="660"/>
      <c r="H33" s="660"/>
      <c r="I33" s="660"/>
      <c r="J33" s="660"/>
      <c r="K33" s="660"/>
      <c r="L33" s="661"/>
    </row>
    <row r="34" spans="1:12">
      <c r="A34" s="1146"/>
      <c r="B34" s="1147"/>
      <c r="C34" s="1146"/>
      <c r="D34" s="658"/>
      <c r="E34" s="658"/>
      <c r="F34" s="658"/>
      <c r="G34" s="660"/>
      <c r="H34" s="660"/>
      <c r="I34" s="660"/>
      <c r="J34" s="660"/>
      <c r="K34" s="660"/>
      <c r="L34" s="661"/>
    </row>
    <row r="35" spans="1:12">
      <c r="A35" s="1146"/>
      <c r="B35" s="1825" t="s">
        <v>1530</v>
      </c>
      <c r="C35" s="1826"/>
      <c r="D35" s="1826"/>
      <c r="E35" s="1826"/>
      <c r="F35" s="1827"/>
      <c r="G35" s="660"/>
      <c r="H35" s="660"/>
      <c r="I35" s="660"/>
      <c r="J35" s="660"/>
      <c r="K35" s="660"/>
      <c r="L35" s="661"/>
    </row>
    <row r="36" spans="1:12">
      <c r="A36" s="1146">
        <v>7</v>
      </c>
      <c r="B36" s="1147" t="s">
        <v>1528</v>
      </c>
      <c r="C36" s="1146" t="s">
        <v>1555</v>
      </c>
      <c r="D36" s="658">
        <f>+D16*D20</f>
        <v>2.6778959368000028</v>
      </c>
      <c r="E36" s="658">
        <f t="shared" ref="E36:F36" si="9">+E16*E20</f>
        <v>4.3237526110668005</v>
      </c>
      <c r="F36" s="658">
        <f t="shared" si="9"/>
        <v>7.1399476395438342</v>
      </c>
      <c r="G36" s="660"/>
      <c r="H36" s="660"/>
      <c r="I36" s="660"/>
      <c r="J36" s="660"/>
      <c r="K36" s="660"/>
      <c r="L36" s="661"/>
    </row>
    <row r="37" spans="1:12">
      <c r="A37" s="1146">
        <v>7.1</v>
      </c>
      <c r="B37" s="1147" t="s">
        <v>1531</v>
      </c>
      <c r="C37" s="1146" t="s">
        <v>316</v>
      </c>
      <c r="D37" s="658"/>
      <c r="E37" s="658"/>
      <c r="F37" s="658"/>
      <c r="G37" s="660"/>
      <c r="H37" s="660"/>
      <c r="I37" s="660"/>
      <c r="J37" s="660"/>
      <c r="K37" s="660"/>
      <c r="L37" s="660"/>
    </row>
    <row r="38" spans="1:12">
      <c r="A38" s="1146">
        <v>7.2</v>
      </c>
      <c r="B38" s="1147" t="s">
        <v>1532</v>
      </c>
      <c r="C38" s="1146" t="s">
        <v>1542</v>
      </c>
      <c r="D38" s="658">
        <f>3.5986</f>
        <v>3.5985999999999998</v>
      </c>
      <c r="E38" s="658">
        <v>3.23</v>
      </c>
      <c r="F38" s="658"/>
      <c r="G38" s="660"/>
      <c r="H38" s="660"/>
      <c r="I38" s="660"/>
      <c r="J38" s="660"/>
      <c r="K38" s="1152"/>
      <c r="L38" s="661"/>
    </row>
    <row r="39" spans="1:12">
      <c r="A39" s="1146">
        <v>7.3</v>
      </c>
      <c r="B39" s="1147" t="s">
        <v>1533</v>
      </c>
      <c r="C39" s="1146" t="s">
        <v>1543</v>
      </c>
      <c r="D39" s="658">
        <f>+F5_PP_Renew!J7</f>
        <v>14.428750000000001</v>
      </c>
      <c r="E39" s="1153">
        <f>+F5_PP_Renew!J11+F5_PP_Renew!J12+F5_PP_Renew!J13</f>
        <v>31.039048000000001</v>
      </c>
      <c r="F39" s="658"/>
      <c r="G39" s="660"/>
      <c r="H39" s="660"/>
      <c r="I39" s="660"/>
      <c r="J39" s="660"/>
      <c r="K39" s="1152"/>
      <c r="L39" s="661"/>
    </row>
    <row r="40" spans="1:12">
      <c r="A40" s="1146">
        <v>7.4</v>
      </c>
      <c r="B40" s="1147" t="s">
        <v>1561</v>
      </c>
      <c r="C40" s="1146" t="s">
        <v>1544</v>
      </c>
      <c r="D40" s="658"/>
      <c r="E40" s="1153"/>
      <c r="F40" s="658"/>
      <c r="G40" s="660"/>
      <c r="H40" s="660"/>
      <c r="I40" s="660"/>
      <c r="J40" s="660"/>
      <c r="K40" s="1152"/>
      <c r="L40" s="661"/>
    </row>
    <row r="41" spans="1:12">
      <c r="A41" s="1146">
        <v>7.5</v>
      </c>
      <c r="B41" s="1147" t="s">
        <v>1535</v>
      </c>
      <c r="C41" s="1146" t="s">
        <v>1547</v>
      </c>
      <c r="D41" s="658">
        <f>+D38*(1-J7)+D39</f>
        <v>18.027350000000002</v>
      </c>
      <c r="E41" s="658">
        <f t="shared" ref="E41:F41" si="10">+E38*(1-K7)+E39</f>
        <v>34.269047999999998</v>
      </c>
      <c r="F41" s="658">
        <f t="shared" si="10"/>
        <v>0</v>
      </c>
      <c r="G41" s="660"/>
      <c r="H41" s="660"/>
      <c r="I41" s="660"/>
      <c r="J41" s="662"/>
      <c r="K41" s="662"/>
      <c r="L41" s="662"/>
    </row>
    <row r="42" spans="1:12">
      <c r="A42" s="1146">
        <v>7.6</v>
      </c>
      <c r="B42" s="1147" t="s">
        <v>1536</v>
      </c>
      <c r="C42" s="1146" t="s">
        <v>1552</v>
      </c>
      <c r="D42" s="658">
        <f>+D41*(1-J8)+D40</f>
        <v>17.454080270000002</v>
      </c>
      <c r="E42" s="658">
        <f t="shared" ref="E42:F42" si="11">+E41*(1-K8)+E40</f>
        <v>33.179292273599998</v>
      </c>
      <c r="F42" s="658">
        <f t="shared" si="11"/>
        <v>0</v>
      </c>
      <c r="G42" s="660"/>
      <c r="H42" s="660"/>
      <c r="I42" s="660"/>
      <c r="J42" s="660"/>
      <c r="K42" s="660"/>
      <c r="L42" s="661"/>
    </row>
    <row r="43" spans="1:12">
      <c r="A43" s="1146">
        <v>7.7</v>
      </c>
      <c r="B43" s="1147" t="s">
        <v>1529</v>
      </c>
      <c r="C43" s="1146" t="s">
        <v>1548</v>
      </c>
      <c r="D43" s="658">
        <f>+D36-D42</f>
        <v>-14.7761843332</v>
      </c>
      <c r="E43" s="658">
        <f t="shared" ref="E43:F43" si="12">+E36-E42</f>
        <v>-28.855539662533197</v>
      </c>
      <c r="F43" s="658">
        <f t="shared" si="12"/>
        <v>7.1399476395438342</v>
      </c>
      <c r="G43" s="660"/>
      <c r="H43" s="660"/>
      <c r="I43" s="660"/>
      <c r="J43" s="660"/>
      <c r="K43" s="660"/>
      <c r="L43" s="661"/>
    </row>
    <row r="44" spans="1:12">
      <c r="A44" s="1146"/>
      <c r="B44" s="1147"/>
      <c r="C44" s="1146"/>
      <c r="D44" s="658"/>
      <c r="E44" s="658"/>
      <c r="F44" s="658"/>
      <c r="G44" s="660"/>
      <c r="H44" s="660"/>
      <c r="I44" s="660"/>
      <c r="J44" s="660"/>
      <c r="K44" s="660"/>
      <c r="L44" s="661"/>
    </row>
    <row r="45" spans="1:12">
      <c r="A45" s="1146"/>
      <c r="B45" s="1825" t="s">
        <v>2131</v>
      </c>
      <c r="C45" s="1826"/>
      <c r="D45" s="1826"/>
      <c r="E45" s="1826"/>
      <c r="F45" s="1827"/>
      <c r="G45" s="660"/>
      <c r="H45" s="660"/>
      <c r="I45" s="660"/>
      <c r="J45" s="660"/>
      <c r="K45" s="660"/>
      <c r="L45" s="661"/>
    </row>
    <row r="46" spans="1:12">
      <c r="A46" s="1146">
        <v>8</v>
      </c>
      <c r="B46" s="1147" t="s">
        <v>1528</v>
      </c>
      <c r="C46" s="1146" t="s">
        <v>1556</v>
      </c>
      <c r="D46" s="658">
        <f>+D16*D21</f>
        <v>1.147669687200001</v>
      </c>
      <c r="E46" s="658">
        <f t="shared" ref="E46:F46" si="13">+E16*E21</f>
        <v>1.8530368333143428</v>
      </c>
      <c r="F46" s="658">
        <f t="shared" si="13"/>
        <v>3.0599775598045</v>
      </c>
      <c r="G46" s="660"/>
      <c r="H46" s="660"/>
      <c r="I46" s="660"/>
      <c r="J46" s="660"/>
      <c r="K46" s="660"/>
      <c r="L46" s="661"/>
    </row>
    <row r="47" spans="1:12">
      <c r="A47" s="1146">
        <v>8.1</v>
      </c>
      <c r="B47" s="1147" t="s">
        <v>1531</v>
      </c>
      <c r="C47" s="1146" t="s">
        <v>316</v>
      </c>
      <c r="D47" s="658"/>
      <c r="E47" s="658"/>
      <c r="F47" s="658"/>
      <c r="G47" s="660"/>
      <c r="H47" s="660"/>
      <c r="I47" s="660"/>
      <c r="J47" s="660"/>
      <c r="K47" s="660"/>
      <c r="L47" s="660"/>
    </row>
    <row r="48" spans="1:12">
      <c r="A48" s="1146">
        <v>8.1999999999999993</v>
      </c>
      <c r="B48" s="1147" t="s">
        <v>1532</v>
      </c>
      <c r="C48" s="1146" t="s">
        <v>1549</v>
      </c>
      <c r="D48" s="658"/>
      <c r="E48" s="658"/>
      <c r="F48" s="658"/>
      <c r="G48" s="660"/>
      <c r="H48" s="660"/>
      <c r="I48" s="660"/>
      <c r="J48" s="660"/>
      <c r="K48" s="1152"/>
      <c r="L48" s="661"/>
    </row>
    <row r="49" spans="1:12">
      <c r="A49" s="1146">
        <v>8.3000000000000007</v>
      </c>
      <c r="B49" s="1147" t="s">
        <v>1533</v>
      </c>
      <c r="C49" s="1146" t="s">
        <v>2135</v>
      </c>
      <c r="D49" s="658"/>
      <c r="E49" s="1153"/>
      <c r="F49" s="658"/>
      <c r="G49" s="660"/>
      <c r="H49" s="660"/>
      <c r="I49" s="660"/>
      <c r="J49" s="660"/>
      <c r="K49" s="1152"/>
      <c r="L49" s="661"/>
    </row>
    <row r="50" spans="1:12">
      <c r="A50" s="1146">
        <v>8.4</v>
      </c>
      <c r="B50" s="1147" t="s">
        <v>1561</v>
      </c>
      <c r="C50" s="1146" t="s">
        <v>2136</v>
      </c>
      <c r="D50" s="658"/>
      <c r="E50" s="1153"/>
      <c r="F50" s="658"/>
      <c r="G50" s="660"/>
      <c r="H50" s="660"/>
      <c r="I50" s="660"/>
      <c r="J50" s="660"/>
      <c r="K50" s="1152"/>
      <c r="L50" s="661"/>
    </row>
    <row r="51" spans="1:12">
      <c r="A51" s="1146">
        <v>8.5</v>
      </c>
      <c r="B51" s="1147" t="s">
        <v>1535</v>
      </c>
      <c r="C51" s="1146" t="s">
        <v>1550</v>
      </c>
      <c r="D51" s="658">
        <f>+D48*(1-J7)+D49</f>
        <v>0</v>
      </c>
      <c r="E51" s="658">
        <f t="shared" ref="E51:F51" si="14">+E48*(1-K7)+E49</f>
        <v>0</v>
      </c>
      <c r="F51" s="658">
        <f t="shared" si="14"/>
        <v>0</v>
      </c>
      <c r="G51" s="660"/>
      <c r="H51" s="660"/>
      <c r="I51" s="660"/>
      <c r="J51" s="662"/>
      <c r="K51" s="662"/>
      <c r="L51" s="662"/>
    </row>
    <row r="52" spans="1:12">
      <c r="A52" s="1146">
        <v>8.6</v>
      </c>
      <c r="B52" s="1147" t="s">
        <v>1536</v>
      </c>
      <c r="C52" s="1146" t="s">
        <v>1553</v>
      </c>
      <c r="D52" s="658">
        <f>+D51*(1-J8)+D50</f>
        <v>0</v>
      </c>
      <c r="E52" s="658">
        <f t="shared" ref="E52:F52" si="15">+E51*(1-K8)+E50</f>
        <v>0</v>
      </c>
      <c r="F52" s="658">
        <f t="shared" si="15"/>
        <v>0</v>
      </c>
      <c r="G52" s="660"/>
      <c r="H52" s="660"/>
      <c r="I52" s="660"/>
      <c r="J52" s="660"/>
      <c r="K52" s="660"/>
      <c r="L52" s="661"/>
    </row>
    <row r="53" spans="1:12">
      <c r="A53" s="1146">
        <v>8.6999999999999993</v>
      </c>
      <c r="B53" s="1147" t="s">
        <v>1529</v>
      </c>
      <c r="C53" s="1146" t="s">
        <v>1554</v>
      </c>
      <c r="D53" s="658">
        <f>+D46-D52</f>
        <v>1.147669687200001</v>
      </c>
      <c r="E53" s="658">
        <f t="shared" ref="E53" si="16">+E46-E52</f>
        <v>1.8530368333143428</v>
      </c>
      <c r="F53" s="658">
        <f t="shared" ref="F53" si="17">+F46-F52</f>
        <v>3.0599775598045</v>
      </c>
      <c r="G53" s="660"/>
      <c r="H53" s="660"/>
      <c r="I53" s="660"/>
      <c r="J53" s="660"/>
      <c r="K53" s="660"/>
      <c r="L53" s="661"/>
    </row>
    <row r="55" spans="1:12">
      <c r="A55" s="1146"/>
      <c r="B55" s="1825" t="s">
        <v>1557</v>
      </c>
      <c r="C55" s="1826"/>
      <c r="D55" s="1826"/>
      <c r="E55" s="1826"/>
      <c r="F55" s="1827"/>
      <c r="G55" s="660"/>
      <c r="H55" s="660"/>
      <c r="I55" s="660"/>
      <c r="J55" s="660"/>
      <c r="K55" s="660"/>
      <c r="L55" s="661"/>
    </row>
    <row r="56" spans="1:12">
      <c r="A56" s="1146">
        <v>8</v>
      </c>
      <c r="B56" s="1147" t="s">
        <v>1528</v>
      </c>
      <c r="C56" s="1146" t="s">
        <v>2134</v>
      </c>
      <c r="D56" s="658">
        <f>+D16*D22</f>
        <v>5.7383484360000061</v>
      </c>
      <c r="E56" s="658">
        <f t="shared" ref="E56:F56" si="18">+E16*E22</f>
        <v>9.2651841665717161</v>
      </c>
      <c r="F56" s="658">
        <f t="shared" si="18"/>
        <v>15.299887799022503</v>
      </c>
      <c r="G56" s="660"/>
      <c r="H56" s="660"/>
      <c r="I56" s="660"/>
      <c r="J56" s="660"/>
      <c r="K56" s="660"/>
      <c r="L56" s="661"/>
    </row>
    <row r="57" spans="1:12">
      <c r="A57" s="1146">
        <v>8.1</v>
      </c>
      <c r="B57" s="1147" t="s">
        <v>1531</v>
      </c>
      <c r="C57" s="1146" t="s">
        <v>316</v>
      </c>
      <c r="D57" s="658"/>
      <c r="E57" s="658"/>
      <c r="F57" s="658"/>
      <c r="G57" s="660"/>
      <c r="H57" s="660"/>
      <c r="I57" s="660"/>
      <c r="J57" s="660"/>
      <c r="K57" s="660"/>
      <c r="L57" s="660"/>
    </row>
    <row r="58" spans="1:12">
      <c r="A58" s="1146">
        <v>8.1999999999999993</v>
      </c>
      <c r="B58" s="1147" t="s">
        <v>1532</v>
      </c>
      <c r="C58" s="1146" t="s">
        <v>2137</v>
      </c>
      <c r="D58" s="658">
        <f>+D27+D38+D48</f>
        <v>3.5985999999999998</v>
      </c>
      <c r="E58" s="658">
        <f t="shared" ref="E58:F58" si="19">+E27+E38+E48</f>
        <v>3.23</v>
      </c>
      <c r="F58" s="658">
        <f t="shared" si="19"/>
        <v>0</v>
      </c>
      <c r="G58" s="660"/>
      <c r="H58" s="660"/>
      <c r="I58" s="660"/>
      <c r="J58" s="660"/>
      <c r="K58" s="1152"/>
      <c r="L58" s="661"/>
    </row>
    <row r="59" spans="1:12">
      <c r="A59" s="1146">
        <v>8.3000000000000007</v>
      </c>
      <c r="B59" s="1147" t="s">
        <v>1533</v>
      </c>
      <c r="C59" s="1146" t="s">
        <v>2138</v>
      </c>
      <c r="D59" s="658">
        <f>+D28+D39+D49</f>
        <v>14.428750000000001</v>
      </c>
      <c r="E59" s="658">
        <f t="shared" ref="E59:F59" si="20">+E28+E39+E49</f>
        <v>31.039048000000001</v>
      </c>
      <c r="F59" s="658">
        <f t="shared" si="20"/>
        <v>0</v>
      </c>
      <c r="G59" s="660"/>
      <c r="H59" s="660"/>
      <c r="I59" s="660"/>
      <c r="J59" s="660"/>
      <c r="K59" s="1152"/>
      <c r="L59" s="661"/>
    </row>
    <row r="60" spans="1:12">
      <c r="A60" s="1146">
        <v>8.4</v>
      </c>
      <c r="B60" s="1147" t="s">
        <v>1561</v>
      </c>
      <c r="C60" s="1146" t="s">
        <v>2139</v>
      </c>
      <c r="D60" s="658"/>
      <c r="E60" s="1153"/>
      <c r="F60" s="658"/>
      <c r="G60" s="660"/>
      <c r="H60" s="660"/>
      <c r="I60" s="660"/>
      <c r="J60" s="660"/>
      <c r="K60" s="1152"/>
      <c r="L60" s="661"/>
    </row>
    <row r="61" spans="1:12">
      <c r="A61" s="1146">
        <v>8.5</v>
      </c>
      <c r="B61" s="1147" t="s">
        <v>1535</v>
      </c>
      <c r="C61" s="1146" t="s">
        <v>1550</v>
      </c>
      <c r="D61" s="658">
        <f>+D58*(1-J17)+D59</f>
        <v>18.027350000000002</v>
      </c>
      <c r="E61" s="658">
        <f t="shared" ref="E61" si="21">+E58*(1-K17)+E59</f>
        <v>34.269047999999998</v>
      </c>
      <c r="F61" s="658">
        <f t="shared" ref="F61" si="22">+F58*(1-L17)+F59</f>
        <v>0</v>
      </c>
      <c r="G61" s="660"/>
      <c r="H61" s="660"/>
      <c r="I61" s="660"/>
      <c r="J61" s="662"/>
      <c r="K61" s="662"/>
      <c r="L61" s="662"/>
    </row>
    <row r="62" spans="1:12">
      <c r="A62" s="1146">
        <v>8.6</v>
      </c>
      <c r="B62" s="1147" t="s">
        <v>1536</v>
      </c>
      <c r="C62" s="1146" t="s">
        <v>1553</v>
      </c>
      <c r="D62" s="658">
        <f>+D61*(1-J18)+D60</f>
        <v>18.027350000000002</v>
      </c>
      <c r="E62" s="658">
        <f t="shared" ref="E62" si="23">+E61*(1-K18)+E60</f>
        <v>34.269047999999998</v>
      </c>
      <c r="F62" s="658">
        <f t="shared" ref="F62" si="24">+F61*(1-L18)+F60</f>
        <v>0</v>
      </c>
      <c r="G62" s="660"/>
      <c r="H62" s="660"/>
      <c r="I62" s="660"/>
      <c r="J62" s="660"/>
      <c r="K62" s="660"/>
      <c r="L62" s="661"/>
    </row>
    <row r="63" spans="1:12">
      <c r="A63" s="1146">
        <v>8.6999999999999993</v>
      </c>
      <c r="B63" s="1147" t="s">
        <v>1529</v>
      </c>
      <c r="C63" s="1146" t="s">
        <v>1554</v>
      </c>
      <c r="D63" s="658">
        <f>+D56-D62</f>
        <v>-12.289001563999996</v>
      </c>
      <c r="E63" s="658">
        <f t="shared" ref="E63:F63" si="25">+E56-E62</f>
        <v>-25.003863833428284</v>
      </c>
      <c r="F63" s="658">
        <f t="shared" si="25"/>
        <v>15.299887799022503</v>
      </c>
      <c r="G63" s="660"/>
      <c r="H63" s="660"/>
      <c r="I63" s="660"/>
      <c r="J63" s="660"/>
      <c r="K63" s="660"/>
      <c r="L63" s="661"/>
    </row>
    <row r="64" spans="1:12">
      <c r="A64" s="1139" t="s">
        <v>1563</v>
      </c>
    </row>
    <row r="65" spans="1:1">
      <c r="A65" s="1150" t="s">
        <v>1562</v>
      </c>
    </row>
  </sheetData>
  <mergeCells count="14">
    <mergeCell ref="B55:F55"/>
    <mergeCell ref="H9:L9"/>
    <mergeCell ref="B24:F24"/>
    <mergeCell ref="B35:F35"/>
    <mergeCell ref="B45:F45"/>
    <mergeCell ref="J5:L5"/>
    <mergeCell ref="I5:I6"/>
    <mergeCell ref="H5:H6"/>
    <mergeCell ref="A1:B1"/>
    <mergeCell ref="A4:F4"/>
    <mergeCell ref="D5:F5"/>
    <mergeCell ref="A6:A7"/>
    <mergeCell ref="B6:B7"/>
    <mergeCell ref="C6:C7"/>
  </mergeCells>
  <printOptions horizontalCentered="1"/>
  <pageMargins left="0.70866141732283472" right="0.70866141732283472" top="0.74803149606299213" bottom="0.74803149606299213" header="0.31496062992125984" footer="0.31496062992125984"/>
  <pageSetup paperSize="5" scale="62"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FFFF"/>
    <pageSetUpPr fitToPage="1"/>
  </sheetPr>
  <dimension ref="A1:N44"/>
  <sheetViews>
    <sheetView view="pageBreakPreview" zoomScale="82" zoomScaleNormal="100" zoomScaleSheetLayoutView="82" workbookViewId="0">
      <selection activeCell="B6" sqref="B6:E44"/>
    </sheetView>
  </sheetViews>
  <sheetFormatPr defaultRowHeight="14.25"/>
  <cols>
    <col min="1" max="1" width="28.46484375" customWidth="1"/>
    <col min="2" max="5" width="13" style="56" customWidth="1"/>
    <col min="6" max="7" width="15.19921875" bestFit="1" customWidth="1"/>
    <col min="8" max="8" width="15.53125" bestFit="1" customWidth="1"/>
    <col min="9" max="10" width="11.796875" bestFit="1" customWidth="1"/>
    <col min="11" max="12" width="11.53125" customWidth="1"/>
    <col min="13" max="13" width="10.19921875" customWidth="1"/>
    <col min="14" max="14" width="12" customWidth="1"/>
    <col min="15" max="254" width="9.19921875"/>
    <col min="255" max="255" width="12.796875" customWidth="1"/>
    <col min="256" max="256" width="7.796875" bestFit="1" customWidth="1"/>
    <col min="257" max="257" width="5.19921875" customWidth="1"/>
    <col min="258" max="258" width="4.46484375" customWidth="1"/>
    <col min="259" max="259" width="11.46484375" customWidth="1"/>
    <col min="260" max="260" width="9.796875" customWidth="1"/>
    <col min="261" max="261" width="8.796875" bestFit="1" customWidth="1"/>
    <col min="262" max="262" width="11.19921875" customWidth="1"/>
    <col min="263" max="263" width="16.53125" customWidth="1"/>
    <col min="264" max="264" width="7.53125" customWidth="1"/>
    <col min="265" max="265" width="8" customWidth="1"/>
    <col min="266" max="267" width="8.19921875" customWidth="1"/>
    <col min="268" max="268" width="6.53125" customWidth="1"/>
    <col min="269" max="269" width="8" customWidth="1"/>
    <col min="270" max="270" width="7.53125" customWidth="1"/>
    <col min="271" max="510" width="9.19921875"/>
    <col min="511" max="511" width="12.796875" customWidth="1"/>
    <col min="512" max="512" width="7.796875" bestFit="1" customWidth="1"/>
    <col min="513" max="513" width="5.19921875" customWidth="1"/>
    <col min="514" max="514" width="4.46484375" customWidth="1"/>
    <col min="515" max="515" width="11.46484375" customWidth="1"/>
    <col min="516" max="516" width="9.796875" customWidth="1"/>
    <col min="517" max="517" width="8.796875" bestFit="1" customWidth="1"/>
    <col min="518" max="518" width="11.19921875" customWidth="1"/>
    <col min="519" max="519" width="16.53125" customWidth="1"/>
    <col min="520" max="520" width="7.53125" customWidth="1"/>
    <col min="521" max="521" width="8" customWidth="1"/>
    <col min="522" max="523" width="8.19921875" customWidth="1"/>
    <col min="524" max="524" width="6.53125" customWidth="1"/>
    <col min="525" max="525" width="8" customWidth="1"/>
    <col min="526" max="526" width="7.53125" customWidth="1"/>
    <col min="527" max="766" width="9.19921875"/>
    <col min="767" max="767" width="12.796875" customWidth="1"/>
    <col min="768" max="768" width="7.796875" bestFit="1" customWidth="1"/>
    <col min="769" max="769" width="5.19921875" customWidth="1"/>
    <col min="770" max="770" width="4.46484375" customWidth="1"/>
    <col min="771" max="771" width="11.46484375" customWidth="1"/>
    <col min="772" max="772" width="9.796875" customWidth="1"/>
    <col min="773" max="773" width="8.796875" bestFit="1" customWidth="1"/>
    <col min="774" max="774" width="11.19921875" customWidth="1"/>
    <col min="775" max="775" width="16.53125" customWidth="1"/>
    <col min="776" max="776" width="7.53125" customWidth="1"/>
    <col min="777" max="777" width="8" customWidth="1"/>
    <col min="778" max="779" width="8.19921875" customWidth="1"/>
    <col min="780" max="780" width="6.53125" customWidth="1"/>
    <col min="781" max="781" width="8" customWidth="1"/>
    <col min="782" max="782" width="7.53125" customWidth="1"/>
    <col min="783" max="1022" width="9.19921875"/>
    <col min="1023" max="1023" width="12.796875" customWidth="1"/>
    <col min="1024" max="1024" width="7.796875" bestFit="1" customWidth="1"/>
    <col min="1025" max="1025" width="5.19921875" customWidth="1"/>
    <col min="1026" max="1026" width="4.46484375" customWidth="1"/>
    <col min="1027" max="1027" width="11.46484375" customWidth="1"/>
    <col min="1028" max="1028" width="9.796875" customWidth="1"/>
    <col min="1029" max="1029" width="8.796875" bestFit="1" customWidth="1"/>
    <col min="1030" max="1030" width="11.19921875" customWidth="1"/>
    <col min="1031" max="1031" width="16.53125" customWidth="1"/>
    <col min="1032" max="1032" width="7.53125" customWidth="1"/>
    <col min="1033" max="1033" width="8" customWidth="1"/>
    <col min="1034" max="1035" width="8.19921875" customWidth="1"/>
    <col min="1036" max="1036" width="6.53125" customWidth="1"/>
    <col min="1037" max="1037" width="8" customWidth="1"/>
    <col min="1038" max="1038" width="7.53125" customWidth="1"/>
    <col min="1039" max="1278" width="9.19921875"/>
    <col min="1279" max="1279" width="12.796875" customWidth="1"/>
    <col min="1280" max="1280" width="7.796875" bestFit="1" customWidth="1"/>
    <col min="1281" max="1281" width="5.19921875" customWidth="1"/>
    <col min="1282" max="1282" width="4.46484375" customWidth="1"/>
    <col min="1283" max="1283" width="11.46484375" customWidth="1"/>
    <col min="1284" max="1284" width="9.796875" customWidth="1"/>
    <col min="1285" max="1285" width="8.796875" bestFit="1" customWidth="1"/>
    <col min="1286" max="1286" width="11.19921875" customWidth="1"/>
    <col min="1287" max="1287" width="16.53125" customWidth="1"/>
    <col min="1288" max="1288" width="7.53125" customWidth="1"/>
    <col min="1289" max="1289" width="8" customWidth="1"/>
    <col min="1290" max="1291" width="8.19921875" customWidth="1"/>
    <col min="1292" max="1292" width="6.53125" customWidth="1"/>
    <col min="1293" max="1293" width="8" customWidth="1"/>
    <col min="1294" max="1294" width="7.53125" customWidth="1"/>
    <col min="1295" max="1534" width="9.19921875"/>
    <col min="1535" max="1535" width="12.796875" customWidth="1"/>
    <col min="1536" max="1536" width="7.796875" bestFit="1" customWidth="1"/>
    <col min="1537" max="1537" width="5.19921875" customWidth="1"/>
    <col min="1538" max="1538" width="4.46484375" customWidth="1"/>
    <col min="1539" max="1539" width="11.46484375" customWidth="1"/>
    <col min="1540" max="1540" width="9.796875" customWidth="1"/>
    <col min="1541" max="1541" width="8.796875" bestFit="1" customWidth="1"/>
    <col min="1542" max="1542" width="11.19921875" customWidth="1"/>
    <col min="1543" max="1543" width="16.53125" customWidth="1"/>
    <col min="1544" max="1544" width="7.53125" customWidth="1"/>
    <col min="1545" max="1545" width="8" customWidth="1"/>
    <col min="1546" max="1547" width="8.19921875" customWidth="1"/>
    <col min="1548" max="1548" width="6.53125" customWidth="1"/>
    <col min="1549" max="1549" width="8" customWidth="1"/>
    <col min="1550" max="1550" width="7.53125" customWidth="1"/>
    <col min="1551" max="1790" width="9.19921875"/>
    <col min="1791" max="1791" width="12.796875" customWidth="1"/>
    <col min="1792" max="1792" width="7.796875" bestFit="1" customWidth="1"/>
    <col min="1793" max="1793" width="5.19921875" customWidth="1"/>
    <col min="1794" max="1794" width="4.46484375" customWidth="1"/>
    <col min="1795" max="1795" width="11.46484375" customWidth="1"/>
    <col min="1796" max="1796" width="9.796875" customWidth="1"/>
    <col min="1797" max="1797" width="8.796875" bestFit="1" customWidth="1"/>
    <col min="1798" max="1798" width="11.19921875" customWidth="1"/>
    <col min="1799" max="1799" width="16.53125" customWidth="1"/>
    <col min="1800" max="1800" width="7.53125" customWidth="1"/>
    <col min="1801" max="1801" width="8" customWidth="1"/>
    <col min="1802" max="1803" width="8.19921875" customWidth="1"/>
    <col min="1804" max="1804" width="6.53125" customWidth="1"/>
    <col min="1805" max="1805" width="8" customWidth="1"/>
    <col min="1806" max="1806" width="7.53125" customWidth="1"/>
    <col min="1807" max="2046" width="9.19921875"/>
    <col min="2047" max="2047" width="12.796875" customWidth="1"/>
    <col min="2048" max="2048" width="7.796875" bestFit="1" customWidth="1"/>
    <col min="2049" max="2049" width="5.19921875" customWidth="1"/>
    <col min="2050" max="2050" width="4.46484375" customWidth="1"/>
    <col min="2051" max="2051" width="11.46484375" customWidth="1"/>
    <col min="2052" max="2052" width="9.796875" customWidth="1"/>
    <col min="2053" max="2053" width="8.796875" bestFit="1" customWidth="1"/>
    <col min="2054" max="2054" width="11.19921875" customWidth="1"/>
    <col min="2055" max="2055" width="16.53125" customWidth="1"/>
    <col min="2056" max="2056" width="7.53125" customWidth="1"/>
    <col min="2057" max="2057" width="8" customWidth="1"/>
    <col min="2058" max="2059" width="8.19921875" customWidth="1"/>
    <col min="2060" max="2060" width="6.53125" customWidth="1"/>
    <col min="2061" max="2061" width="8" customWidth="1"/>
    <col min="2062" max="2062" width="7.53125" customWidth="1"/>
    <col min="2063" max="2302" width="9.19921875"/>
    <col min="2303" max="2303" width="12.796875" customWidth="1"/>
    <col min="2304" max="2304" width="7.796875" bestFit="1" customWidth="1"/>
    <col min="2305" max="2305" width="5.19921875" customWidth="1"/>
    <col min="2306" max="2306" width="4.46484375" customWidth="1"/>
    <col min="2307" max="2307" width="11.46484375" customWidth="1"/>
    <col min="2308" max="2308" width="9.796875" customWidth="1"/>
    <col min="2309" max="2309" width="8.796875" bestFit="1" customWidth="1"/>
    <col min="2310" max="2310" width="11.19921875" customWidth="1"/>
    <col min="2311" max="2311" width="16.53125" customWidth="1"/>
    <col min="2312" max="2312" width="7.53125" customWidth="1"/>
    <col min="2313" max="2313" width="8" customWidth="1"/>
    <col min="2314" max="2315" width="8.19921875" customWidth="1"/>
    <col min="2316" max="2316" width="6.53125" customWidth="1"/>
    <col min="2317" max="2317" width="8" customWidth="1"/>
    <col min="2318" max="2318" width="7.53125" customWidth="1"/>
    <col min="2319" max="2558" width="9.19921875"/>
    <col min="2559" max="2559" width="12.796875" customWidth="1"/>
    <col min="2560" max="2560" width="7.796875" bestFit="1" customWidth="1"/>
    <col min="2561" max="2561" width="5.19921875" customWidth="1"/>
    <col min="2562" max="2562" width="4.46484375" customWidth="1"/>
    <col min="2563" max="2563" width="11.46484375" customWidth="1"/>
    <col min="2564" max="2564" width="9.796875" customWidth="1"/>
    <col min="2565" max="2565" width="8.796875" bestFit="1" customWidth="1"/>
    <col min="2566" max="2566" width="11.19921875" customWidth="1"/>
    <col min="2567" max="2567" width="16.53125" customWidth="1"/>
    <col min="2568" max="2568" width="7.53125" customWidth="1"/>
    <col min="2569" max="2569" width="8" customWidth="1"/>
    <col min="2570" max="2571" width="8.19921875" customWidth="1"/>
    <col min="2572" max="2572" width="6.53125" customWidth="1"/>
    <col min="2573" max="2573" width="8" customWidth="1"/>
    <col min="2574" max="2574" width="7.53125" customWidth="1"/>
    <col min="2575" max="2814" width="9.19921875"/>
    <col min="2815" max="2815" width="12.796875" customWidth="1"/>
    <col min="2816" max="2816" width="7.796875" bestFit="1" customWidth="1"/>
    <col min="2817" max="2817" width="5.19921875" customWidth="1"/>
    <col min="2818" max="2818" width="4.46484375" customWidth="1"/>
    <col min="2819" max="2819" width="11.46484375" customWidth="1"/>
    <col min="2820" max="2820" width="9.796875" customWidth="1"/>
    <col min="2821" max="2821" width="8.796875" bestFit="1" customWidth="1"/>
    <col min="2822" max="2822" width="11.19921875" customWidth="1"/>
    <col min="2823" max="2823" width="16.53125" customWidth="1"/>
    <col min="2824" max="2824" width="7.53125" customWidth="1"/>
    <col min="2825" max="2825" width="8" customWidth="1"/>
    <col min="2826" max="2827" width="8.19921875" customWidth="1"/>
    <col min="2828" max="2828" width="6.53125" customWidth="1"/>
    <col min="2829" max="2829" width="8" customWidth="1"/>
    <col min="2830" max="2830" width="7.53125" customWidth="1"/>
    <col min="2831" max="3070" width="9.19921875"/>
    <col min="3071" max="3071" width="12.796875" customWidth="1"/>
    <col min="3072" max="3072" width="7.796875" bestFit="1" customWidth="1"/>
    <col min="3073" max="3073" width="5.19921875" customWidth="1"/>
    <col min="3074" max="3074" width="4.46484375" customWidth="1"/>
    <col min="3075" max="3075" width="11.46484375" customWidth="1"/>
    <col min="3076" max="3076" width="9.796875" customWidth="1"/>
    <col min="3077" max="3077" width="8.796875" bestFit="1" customWidth="1"/>
    <col min="3078" max="3078" width="11.19921875" customWidth="1"/>
    <col min="3079" max="3079" width="16.53125" customWidth="1"/>
    <col min="3080" max="3080" width="7.53125" customWidth="1"/>
    <col min="3081" max="3081" width="8" customWidth="1"/>
    <col min="3082" max="3083" width="8.19921875" customWidth="1"/>
    <col min="3084" max="3084" width="6.53125" customWidth="1"/>
    <col min="3085" max="3085" width="8" customWidth="1"/>
    <col min="3086" max="3086" width="7.53125" customWidth="1"/>
    <col min="3087" max="3326" width="9.19921875"/>
    <col min="3327" max="3327" width="12.796875" customWidth="1"/>
    <col min="3328" max="3328" width="7.796875" bestFit="1" customWidth="1"/>
    <col min="3329" max="3329" width="5.19921875" customWidth="1"/>
    <col min="3330" max="3330" width="4.46484375" customWidth="1"/>
    <col min="3331" max="3331" width="11.46484375" customWidth="1"/>
    <col min="3332" max="3332" width="9.796875" customWidth="1"/>
    <col min="3333" max="3333" width="8.796875" bestFit="1" customWidth="1"/>
    <col min="3334" max="3334" width="11.19921875" customWidth="1"/>
    <col min="3335" max="3335" width="16.53125" customWidth="1"/>
    <col min="3336" max="3336" width="7.53125" customWidth="1"/>
    <col min="3337" max="3337" width="8" customWidth="1"/>
    <col min="3338" max="3339" width="8.19921875" customWidth="1"/>
    <col min="3340" max="3340" width="6.53125" customWidth="1"/>
    <col min="3341" max="3341" width="8" customWidth="1"/>
    <col min="3342" max="3342" width="7.53125" customWidth="1"/>
    <col min="3343" max="3582" width="9.19921875"/>
    <col min="3583" max="3583" width="12.796875" customWidth="1"/>
    <col min="3584" max="3584" width="7.796875" bestFit="1" customWidth="1"/>
    <col min="3585" max="3585" width="5.19921875" customWidth="1"/>
    <col min="3586" max="3586" width="4.46484375" customWidth="1"/>
    <col min="3587" max="3587" width="11.46484375" customWidth="1"/>
    <col min="3588" max="3588" width="9.796875" customWidth="1"/>
    <col min="3589" max="3589" width="8.796875" bestFit="1" customWidth="1"/>
    <col min="3590" max="3590" width="11.19921875" customWidth="1"/>
    <col min="3591" max="3591" width="16.53125" customWidth="1"/>
    <col min="3592" max="3592" width="7.53125" customWidth="1"/>
    <col min="3593" max="3593" width="8" customWidth="1"/>
    <col min="3594" max="3595" width="8.19921875" customWidth="1"/>
    <col min="3596" max="3596" width="6.53125" customWidth="1"/>
    <col min="3597" max="3597" width="8" customWidth="1"/>
    <col min="3598" max="3598" width="7.53125" customWidth="1"/>
    <col min="3599" max="3838" width="9.19921875"/>
    <col min="3839" max="3839" width="12.796875" customWidth="1"/>
    <col min="3840" max="3840" width="7.796875" bestFit="1" customWidth="1"/>
    <col min="3841" max="3841" width="5.19921875" customWidth="1"/>
    <col min="3842" max="3842" width="4.46484375" customWidth="1"/>
    <col min="3843" max="3843" width="11.46484375" customWidth="1"/>
    <col min="3844" max="3844" width="9.796875" customWidth="1"/>
    <col min="3845" max="3845" width="8.796875" bestFit="1" customWidth="1"/>
    <col min="3846" max="3846" width="11.19921875" customWidth="1"/>
    <col min="3847" max="3847" width="16.53125" customWidth="1"/>
    <col min="3848" max="3848" width="7.53125" customWidth="1"/>
    <col min="3849" max="3849" width="8" customWidth="1"/>
    <col min="3850" max="3851" width="8.19921875" customWidth="1"/>
    <col min="3852" max="3852" width="6.53125" customWidth="1"/>
    <col min="3853" max="3853" width="8" customWidth="1"/>
    <col min="3854" max="3854" width="7.53125" customWidth="1"/>
    <col min="3855" max="4094" width="9.19921875"/>
    <col min="4095" max="4095" width="12.796875" customWidth="1"/>
    <col min="4096" max="4096" width="7.796875" bestFit="1" customWidth="1"/>
    <col min="4097" max="4097" width="5.19921875" customWidth="1"/>
    <col min="4098" max="4098" width="4.46484375" customWidth="1"/>
    <col min="4099" max="4099" width="11.46484375" customWidth="1"/>
    <col min="4100" max="4100" width="9.796875" customWidth="1"/>
    <col min="4101" max="4101" width="8.796875" bestFit="1" customWidth="1"/>
    <col min="4102" max="4102" width="11.19921875" customWidth="1"/>
    <col min="4103" max="4103" width="16.53125" customWidth="1"/>
    <col min="4104" max="4104" width="7.53125" customWidth="1"/>
    <col min="4105" max="4105" width="8" customWidth="1"/>
    <col min="4106" max="4107" width="8.19921875" customWidth="1"/>
    <col min="4108" max="4108" width="6.53125" customWidth="1"/>
    <col min="4109" max="4109" width="8" customWidth="1"/>
    <col min="4110" max="4110" width="7.53125" customWidth="1"/>
    <col min="4111" max="4350" width="9.19921875"/>
    <col min="4351" max="4351" width="12.796875" customWidth="1"/>
    <col min="4352" max="4352" width="7.796875" bestFit="1" customWidth="1"/>
    <col min="4353" max="4353" width="5.19921875" customWidth="1"/>
    <col min="4354" max="4354" width="4.46484375" customWidth="1"/>
    <col min="4355" max="4355" width="11.46484375" customWidth="1"/>
    <col min="4356" max="4356" width="9.796875" customWidth="1"/>
    <col min="4357" max="4357" width="8.796875" bestFit="1" customWidth="1"/>
    <col min="4358" max="4358" width="11.19921875" customWidth="1"/>
    <col min="4359" max="4359" width="16.53125" customWidth="1"/>
    <col min="4360" max="4360" width="7.53125" customWidth="1"/>
    <col min="4361" max="4361" width="8" customWidth="1"/>
    <col min="4362" max="4363" width="8.19921875" customWidth="1"/>
    <col min="4364" max="4364" width="6.53125" customWidth="1"/>
    <col min="4365" max="4365" width="8" customWidth="1"/>
    <col min="4366" max="4366" width="7.53125" customWidth="1"/>
    <col min="4367" max="4606" width="9.19921875"/>
    <col min="4607" max="4607" width="12.796875" customWidth="1"/>
    <col min="4608" max="4608" width="7.796875" bestFit="1" customWidth="1"/>
    <col min="4609" max="4609" width="5.19921875" customWidth="1"/>
    <col min="4610" max="4610" width="4.46484375" customWidth="1"/>
    <col min="4611" max="4611" width="11.46484375" customWidth="1"/>
    <col min="4612" max="4612" width="9.796875" customWidth="1"/>
    <col min="4613" max="4613" width="8.796875" bestFit="1" customWidth="1"/>
    <col min="4614" max="4614" width="11.19921875" customWidth="1"/>
    <col min="4615" max="4615" width="16.53125" customWidth="1"/>
    <col min="4616" max="4616" width="7.53125" customWidth="1"/>
    <col min="4617" max="4617" width="8" customWidth="1"/>
    <col min="4618" max="4619" width="8.19921875" customWidth="1"/>
    <col min="4620" max="4620" width="6.53125" customWidth="1"/>
    <col min="4621" max="4621" width="8" customWidth="1"/>
    <col min="4622" max="4622" width="7.53125" customWidth="1"/>
    <col min="4623" max="4862" width="9.19921875"/>
    <col min="4863" max="4863" width="12.796875" customWidth="1"/>
    <col min="4864" max="4864" width="7.796875" bestFit="1" customWidth="1"/>
    <col min="4865" max="4865" width="5.19921875" customWidth="1"/>
    <col min="4866" max="4866" width="4.46484375" customWidth="1"/>
    <col min="4867" max="4867" width="11.46484375" customWidth="1"/>
    <col min="4868" max="4868" width="9.796875" customWidth="1"/>
    <col min="4869" max="4869" width="8.796875" bestFit="1" customWidth="1"/>
    <col min="4870" max="4870" width="11.19921875" customWidth="1"/>
    <col min="4871" max="4871" width="16.53125" customWidth="1"/>
    <col min="4872" max="4872" width="7.53125" customWidth="1"/>
    <col min="4873" max="4873" width="8" customWidth="1"/>
    <col min="4874" max="4875" width="8.19921875" customWidth="1"/>
    <col min="4876" max="4876" width="6.53125" customWidth="1"/>
    <col min="4877" max="4877" width="8" customWidth="1"/>
    <col min="4878" max="4878" width="7.53125" customWidth="1"/>
    <col min="4879" max="5118" width="9.19921875"/>
    <col min="5119" max="5119" width="12.796875" customWidth="1"/>
    <col min="5120" max="5120" width="7.796875" bestFit="1" customWidth="1"/>
    <col min="5121" max="5121" width="5.19921875" customWidth="1"/>
    <col min="5122" max="5122" width="4.46484375" customWidth="1"/>
    <col min="5123" max="5123" width="11.46484375" customWidth="1"/>
    <col min="5124" max="5124" width="9.796875" customWidth="1"/>
    <col min="5125" max="5125" width="8.796875" bestFit="1" customWidth="1"/>
    <col min="5126" max="5126" width="11.19921875" customWidth="1"/>
    <col min="5127" max="5127" width="16.53125" customWidth="1"/>
    <col min="5128" max="5128" width="7.53125" customWidth="1"/>
    <col min="5129" max="5129" width="8" customWidth="1"/>
    <col min="5130" max="5131" width="8.19921875" customWidth="1"/>
    <col min="5132" max="5132" width="6.53125" customWidth="1"/>
    <col min="5133" max="5133" width="8" customWidth="1"/>
    <col min="5134" max="5134" width="7.53125" customWidth="1"/>
    <col min="5135" max="5374" width="9.19921875"/>
    <col min="5375" max="5375" width="12.796875" customWidth="1"/>
    <col min="5376" max="5376" width="7.796875" bestFit="1" customWidth="1"/>
    <col min="5377" max="5377" width="5.19921875" customWidth="1"/>
    <col min="5378" max="5378" width="4.46484375" customWidth="1"/>
    <col min="5379" max="5379" width="11.46484375" customWidth="1"/>
    <col min="5380" max="5380" width="9.796875" customWidth="1"/>
    <col min="5381" max="5381" width="8.796875" bestFit="1" customWidth="1"/>
    <col min="5382" max="5382" width="11.19921875" customWidth="1"/>
    <col min="5383" max="5383" width="16.53125" customWidth="1"/>
    <col min="5384" max="5384" width="7.53125" customWidth="1"/>
    <col min="5385" max="5385" width="8" customWidth="1"/>
    <col min="5386" max="5387" width="8.19921875" customWidth="1"/>
    <col min="5388" max="5388" width="6.53125" customWidth="1"/>
    <col min="5389" max="5389" width="8" customWidth="1"/>
    <col min="5390" max="5390" width="7.53125" customWidth="1"/>
    <col min="5391" max="5630" width="9.19921875"/>
    <col min="5631" max="5631" width="12.796875" customWidth="1"/>
    <col min="5632" max="5632" width="7.796875" bestFit="1" customWidth="1"/>
    <col min="5633" max="5633" width="5.19921875" customWidth="1"/>
    <col min="5634" max="5634" width="4.46484375" customWidth="1"/>
    <col min="5635" max="5635" width="11.46484375" customWidth="1"/>
    <col min="5636" max="5636" width="9.796875" customWidth="1"/>
    <col min="5637" max="5637" width="8.796875" bestFit="1" customWidth="1"/>
    <col min="5638" max="5638" width="11.19921875" customWidth="1"/>
    <col min="5639" max="5639" width="16.53125" customWidth="1"/>
    <col min="5640" max="5640" width="7.53125" customWidth="1"/>
    <col min="5641" max="5641" width="8" customWidth="1"/>
    <col min="5642" max="5643" width="8.19921875" customWidth="1"/>
    <col min="5644" max="5644" width="6.53125" customWidth="1"/>
    <col min="5645" max="5645" width="8" customWidth="1"/>
    <col min="5646" max="5646" width="7.53125" customWidth="1"/>
    <col min="5647" max="5886" width="9.19921875"/>
    <col min="5887" max="5887" width="12.796875" customWidth="1"/>
    <col min="5888" max="5888" width="7.796875" bestFit="1" customWidth="1"/>
    <col min="5889" max="5889" width="5.19921875" customWidth="1"/>
    <col min="5890" max="5890" width="4.46484375" customWidth="1"/>
    <col min="5891" max="5891" width="11.46484375" customWidth="1"/>
    <col min="5892" max="5892" width="9.796875" customWidth="1"/>
    <col min="5893" max="5893" width="8.796875" bestFit="1" customWidth="1"/>
    <col min="5894" max="5894" width="11.19921875" customWidth="1"/>
    <col min="5895" max="5895" width="16.53125" customWidth="1"/>
    <col min="5896" max="5896" width="7.53125" customWidth="1"/>
    <col min="5897" max="5897" width="8" customWidth="1"/>
    <col min="5898" max="5899" width="8.19921875" customWidth="1"/>
    <col min="5900" max="5900" width="6.53125" customWidth="1"/>
    <col min="5901" max="5901" width="8" customWidth="1"/>
    <col min="5902" max="5902" width="7.53125" customWidth="1"/>
    <col min="5903" max="6142" width="9.19921875"/>
    <col min="6143" max="6143" width="12.796875" customWidth="1"/>
    <col min="6144" max="6144" width="7.796875" bestFit="1" customWidth="1"/>
    <col min="6145" max="6145" width="5.19921875" customWidth="1"/>
    <col min="6146" max="6146" width="4.46484375" customWidth="1"/>
    <col min="6147" max="6147" width="11.46484375" customWidth="1"/>
    <col min="6148" max="6148" width="9.796875" customWidth="1"/>
    <col min="6149" max="6149" width="8.796875" bestFit="1" customWidth="1"/>
    <col min="6150" max="6150" width="11.19921875" customWidth="1"/>
    <col min="6151" max="6151" width="16.53125" customWidth="1"/>
    <col min="6152" max="6152" width="7.53125" customWidth="1"/>
    <col min="6153" max="6153" width="8" customWidth="1"/>
    <col min="6154" max="6155" width="8.19921875" customWidth="1"/>
    <col min="6156" max="6156" width="6.53125" customWidth="1"/>
    <col min="6157" max="6157" width="8" customWidth="1"/>
    <col min="6158" max="6158" width="7.53125" customWidth="1"/>
    <col min="6159" max="6398" width="9.19921875"/>
    <col min="6399" max="6399" width="12.796875" customWidth="1"/>
    <col min="6400" max="6400" width="7.796875" bestFit="1" customWidth="1"/>
    <col min="6401" max="6401" width="5.19921875" customWidth="1"/>
    <col min="6402" max="6402" width="4.46484375" customWidth="1"/>
    <col min="6403" max="6403" width="11.46484375" customWidth="1"/>
    <col min="6404" max="6404" width="9.796875" customWidth="1"/>
    <col min="6405" max="6405" width="8.796875" bestFit="1" customWidth="1"/>
    <col min="6406" max="6406" width="11.19921875" customWidth="1"/>
    <col min="6407" max="6407" width="16.53125" customWidth="1"/>
    <col min="6408" max="6408" width="7.53125" customWidth="1"/>
    <col min="6409" max="6409" width="8" customWidth="1"/>
    <col min="6410" max="6411" width="8.19921875" customWidth="1"/>
    <col min="6412" max="6412" width="6.53125" customWidth="1"/>
    <col min="6413" max="6413" width="8" customWidth="1"/>
    <col min="6414" max="6414" width="7.53125" customWidth="1"/>
    <col min="6415" max="6654" width="9.19921875"/>
    <col min="6655" max="6655" width="12.796875" customWidth="1"/>
    <col min="6656" max="6656" width="7.796875" bestFit="1" customWidth="1"/>
    <col min="6657" max="6657" width="5.19921875" customWidth="1"/>
    <col min="6658" max="6658" width="4.46484375" customWidth="1"/>
    <col min="6659" max="6659" width="11.46484375" customWidth="1"/>
    <col min="6660" max="6660" width="9.796875" customWidth="1"/>
    <col min="6661" max="6661" width="8.796875" bestFit="1" customWidth="1"/>
    <col min="6662" max="6662" width="11.19921875" customWidth="1"/>
    <col min="6663" max="6663" width="16.53125" customWidth="1"/>
    <col min="6664" max="6664" width="7.53125" customWidth="1"/>
    <col min="6665" max="6665" width="8" customWidth="1"/>
    <col min="6666" max="6667" width="8.19921875" customWidth="1"/>
    <col min="6668" max="6668" width="6.53125" customWidth="1"/>
    <col min="6669" max="6669" width="8" customWidth="1"/>
    <col min="6670" max="6670" width="7.53125" customWidth="1"/>
    <col min="6671" max="6910" width="9.19921875"/>
    <col min="6911" max="6911" width="12.796875" customWidth="1"/>
    <col min="6912" max="6912" width="7.796875" bestFit="1" customWidth="1"/>
    <col min="6913" max="6913" width="5.19921875" customWidth="1"/>
    <col min="6914" max="6914" width="4.46484375" customWidth="1"/>
    <col min="6915" max="6915" width="11.46484375" customWidth="1"/>
    <col min="6916" max="6916" width="9.796875" customWidth="1"/>
    <col min="6917" max="6917" width="8.796875" bestFit="1" customWidth="1"/>
    <col min="6918" max="6918" width="11.19921875" customWidth="1"/>
    <col min="6919" max="6919" width="16.53125" customWidth="1"/>
    <col min="6920" max="6920" width="7.53125" customWidth="1"/>
    <col min="6921" max="6921" width="8" customWidth="1"/>
    <col min="6922" max="6923" width="8.19921875" customWidth="1"/>
    <col min="6924" max="6924" width="6.53125" customWidth="1"/>
    <col min="6925" max="6925" width="8" customWidth="1"/>
    <col min="6926" max="6926" width="7.53125" customWidth="1"/>
    <col min="6927" max="7166" width="9.19921875"/>
    <col min="7167" max="7167" width="12.796875" customWidth="1"/>
    <col min="7168" max="7168" width="7.796875" bestFit="1" customWidth="1"/>
    <col min="7169" max="7169" width="5.19921875" customWidth="1"/>
    <col min="7170" max="7170" width="4.46484375" customWidth="1"/>
    <col min="7171" max="7171" width="11.46484375" customWidth="1"/>
    <col min="7172" max="7172" width="9.796875" customWidth="1"/>
    <col min="7173" max="7173" width="8.796875" bestFit="1" customWidth="1"/>
    <col min="7174" max="7174" width="11.19921875" customWidth="1"/>
    <col min="7175" max="7175" width="16.53125" customWidth="1"/>
    <col min="7176" max="7176" width="7.53125" customWidth="1"/>
    <col min="7177" max="7177" width="8" customWidth="1"/>
    <col min="7178" max="7179" width="8.19921875" customWidth="1"/>
    <col min="7180" max="7180" width="6.53125" customWidth="1"/>
    <col min="7181" max="7181" width="8" customWidth="1"/>
    <col min="7182" max="7182" width="7.53125" customWidth="1"/>
    <col min="7183" max="7422" width="9.19921875"/>
    <col min="7423" max="7423" width="12.796875" customWidth="1"/>
    <col min="7424" max="7424" width="7.796875" bestFit="1" customWidth="1"/>
    <col min="7425" max="7425" width="5.19921875" customWidth="1"/>
    <col min="7426" max="7426" width="4.46484375" customWidth="1"/>
    <col min="7427" max="7427" width="11.46484375" customWidth="1"/>
    <col min="7428" max="7428" width="9.796875" customWidth="1"/>
    <col min="7429" max="7429" width="8.796875" bestFit="1" customWidth="1"/>
    <col min="7430" max="7430" width="11.19921875" customWidth="1"/>
    <col min="7431" max="7431" width="16.53125" customWidth="1"/>
    <col min="7432" max="7432" width="7.53125" customWidth="1"/>
    <col min="7433" max="7433" width="8" customWidth="1"/>
    <col min="7434" max="7435" width="8.19921875" customWidth="1"/>
    <col min="7436" max="7436" width="6.53125" customWidth="1"/>
    <col min="7437" max="7437" width="8" customWidth="1"/>
    <col min="7438" max="7438" width="7.53125" customWidth="1"/>
    <col min="7439" max="7678" width="9.19921875"/>
    <col min="7679" max="7679" width="12.796875" customWidth="1"/>
    <col min="7680" max="7680" width="7.796875" bestFit="1" customWidth="1"/>
    <col min="7681" max="7681" width="5.19921875" customWidth="1"/>
    <col min="7682" max="7682" width="4.46484375" customWidth="1"/>
    <col min="7683" max="7683" width="11.46484375" customWidth="1"/>
    <col min="7684" max="7684" width="9.796875" customWidth="1"/>
    <col min="7685" max="7685" width="8.796875" bestFit="1" customWidth="1"/>
    <col min="7686" max="7686" width="11.19921875" customWidth="1"/>
    <col min="7687" max="7687" width="16.53125" customWidth="1"/>
    <col min="7688" max="7688" width="7.53125" customWidth="1"/>
    <col min="7689" max="7689" width="8" customWidth="1"/>
    <col min="7690" max="7691" width="8.19921875" customWidth="1"/>
    <col min="7692" max="7692" width="6.53125" customWidth="1"/>
    <col min="7693" max="7693" width="8" customWidth="1"/>
    <col min="7694" max="7694" width="7.53125" customWidth="1"/>
    <col min="7695" max="7934" width="9.19921875"/>
    <col min="7935" max="7935" width="12.796875" customWidth="1"/>
    <col min="7936" max="7936" width="7.796875" bestFit="1" customWidth="1"/>
    <col min="7937" max="7937" width="5.19921875" customWidth="1"/>
    <col min="7938" max="7938" width="4.46484375" customWidth="1"/>
    <col min="7939" max="7939" width="11.46484375" customWidth="1"/>
    <col min="7940" max="7940" width="9.796875" customWidth="1"/>
    <col min="7941" max="7941" width="8.796875" bestFit="1" customWidth="1"/>
    <col min="7942" max="7942" width="11.19921875" customWidth="1"/>
    <col min="7943" max="7943" width="16.53125" customWidth="1"/>
    <col min="7944" max="7944" width="7.53125" customWidth="1"/>
    <col min="7945" max="7945" width="8" customWidth="1"/>
    <col min="7946" max="7947" width="8.19921875" customWidth="1"/>
    <col min="7948" max="7948" width="6.53125" customWidth="1"/>
    <col min="7949" max="7949" width="8" customWidth="1"/>
    <col min="7950" max="7950" width="7.53125" customWidth="1"/>
    <col min="7951" max="8190" width="9.19921875"/>
    <col min="8191" max="8191" width="12.796875" customWidth="1"/>
    <col min="8192" max="8192" width="7.796875" bestFit="1" customWidth="1"/>
    <col min="8193" max="8193" width="5.19921875" customWidth="1"/>
    <col min="8194" max="8194" width="4.46484375" customWidth="1"/>
    <col min="8195" max="8195" width="11.46484375" customWidth="1"/>
    <col min="8196" max="8196" width="9.796875" customWidth="1"/>
    <col min="8197" max="8197" width="8.796875" bestFit="1" customWidth="1"/>
    <col min="8198" max="8198" width="11.19921875" customWidth="1"/>
    <col min="8199" max="8199" width="16.53125" customWidth="1"/>
    <col min="8200" max="8200" width="7.53125" customWidth="1"/>
    <col min="8201" max="8201" width="8" customWidth="1"/>
    <col min="8202" max="8203" width="8.19921875" customWidth="1"/>
    <col min="8204" max="8204" width="6.53125" customWidth="1"/>
    <col min="8205" max="8205" width="8" customWidth="1"/>
    <col min="8206" max="8206" width="7.53125" customWidth="1"/>
    <col min="8207" max="8446" width="9.19921875"/>
    <col min="8447" max="8447" width="12.796875" customWidth="1"/>
    <col min="8448" max="8448" width="7.796875" bestFit="1" customWidth="1"/>
    <col min="8449" max="8449" width="5.19921875" customWidth="1"/>
    <col min="8450" max="8450" width="4.46484375" customWidth="1"/>
    <col min="8451" max="8451" width="11.46484375" customWidth="1"/>
    <col min="8452" max="8452" width="9.796875" customWidth="1"/>
    <col min="8453" max="8453" width="8.796875" bestFit="1" customWidth="1"/>
    <col min="8454" max="8454" width="11.19921875" customWidth="1"/>
    <col min="8455" max="8455" width="16.53125" customWidth="1"/>
    <col min="8456" max="8456" width="7.53125" customWidth="1"/>
    <col min="8457" max="8457" width="8" customWidth="1"/>
    <col min="8458" max="8459" width="8.19921875" customWidth="1"/>
    <col min="8460" max="8460" width="6.53125" customWidth="1"/>
    <col min="8461" max="8461" width="8" customWidth="1"/>
    <col min="8462" max="8462" width="7.53125" customWidth="1"/>
    <col min="8463" max="8702" width="9.19921875"/>
    <col min="8703" max="8703" width="12.796875" customWidth="1"/>
    <col min="8704" max="8704" width="7.796875" bestFit="1" customWidth="1"/>
    <col min="8705" max="8705" width="5.19921875" customWidth="1"/>
    <col min="8706" max="8706" width="4.46484375" customWidth="1"/>
    <col min="8707" max="8707" width="11.46484375" customWidth="1"/>
    <col min="8708" max="8708" width="9.796875" customWidth="1"/>
    <col min="8709" max="8709" width="8.796875" bestFit="1" customWidth="1"/>
    <col min="8710" max="8710" width="11.19921875" customWidth="1"/>
    <col min="8711" max="8711" width="16.53125" customWidth="1"/>
    <col min="8712" max="8712" width="7.53125" customWidth="1"/>
    <col min="8713" max="8713" width="8" customWidth="1"/>
    <col min="8714" max="8715" width="8.19921875" customWidth="1"/>
    <col min="8716" max="8716" width="6.53125" customWidth="1"/>
    <col min="8717" max="8717" width="8" customWidth="1"/>
    <col min="8718" max="8718" width="7.53125" customWidth="1"/>
    <col min="8719" max="8958" width="9.19921875"/>
    <col min="8959" max="8959" width="12.796875" customWidth="1"/>
    <col min="8960" max="8960" width="7.796875" bestFit="1" customWidth="1"/>
    <col min="8961" max="8961" width="5.19921875" customWidth="1"/>
    <col min="8962" max="8962" width="4.46484375" customWidth="1"/>
    <col min="8963" max="8963" width="11.46484375" customWidth="1"/>
    <col min="8964" max="8964" width="9.796875" customWidth="1"/>
    <col min="8965" max="8965" width="8.796875" bestFit="1" customWidth="1"/>
    <col min="8966" max="8966" width="11.19921875" customWidth="1"/>
    <col min="8967" max="8967" width="16.53125" customWidth="1"/>
    <col min="8968" max="8968" width="7.53125" customWidth="1"/>
    <col min="8969" max="8969" width="8" customWidth="1"/>
    <col min="8970" max="8971" width="8.19921875" customWidth="1"/>
    <col min="8972" max="8972" width="6.53125" customWidth="1"/>
    <col min="8973" max="8973" width="8" customWidth="1"/>
    <col min="8974" max="8974" width="7.53125" customWidth="1"/>
    <col min="8975" max="9214" width="9.19921875"/>
    <col min="9215" max="9215" width="12.796875" customWidth="1"/>
    <col min="9216" max="9216" width="7.796875" bestFit="1" customWidth="1"/>
    <col min="9217" max="9217" width="5.19921875" customWidth="1"/>
    <col min="9218" max="9218" width="4.46484375" customWidth="1"/>
    <col min="9219" max="9219" width="11.46484375" customWidth="1"/>
    <col min="9220" max="9220" width="9.796875" customWidth="1"/>
    <col min="9221" max="9221" width="8.796875" bestFit="1" customWidth="1"/>
    <col min="9222" max="9222" width="11.19921875" customWidth="1"/>
    <col min="9223" max="9223" width="16.53125" customWidth="1"/>
    <col min="9224" max="9224" width="7.53125" customWidth="1"/>
    <col min="9225" max="9225" width="8" customWidth="1"/>
    <col min="9226" max="9227" width="8.19921875" customWidth="1"/>
    <col min="9228" max="9228" width="6.53125" customWidth="1"/>
    <col min="9229" max="9229" width="8" customWidth="1"/>
    <col min="9230" max="9230" width="7.53125" customWidth="1"/>
    <col min="9231" max="9470" width="9.19921875"/>
    <col min="9471" max="9471" width="12.796875" customWidth="1"/>
    <col min="9472" max="9472" width="7.796875" bestFit="1" customWidth="1"/>
    <col min="9473" max="9473" width="5.19921875" customWidth="1"/>
    <col min="9474" max="9474" width="4.46484375" customWidth="1"/>
    <col min="9475" max="9475" width="11.46484375" customWidth="1"/>
    <col min="9476" max="9476" width="9.796875" customWidth="1"/>
    <col min="9477" max="9477" width="8.796875" bestFit="1" customWidth="1"/>
    <col min="9478" max="9478" width="11.19921875" customWidth="1"/>
    <col min="9479" max="9479" width="16.53125" customWidth="1"/>
    <col min="9480" max="9480" width="7.53125" customWidth="1"/>
    <col min="9481" max="9481" width="8" customWidth="1"/>
    <col min="9482" max="9483" width="8.19921875" customWidth="1"/>
    <col min="9484" max="9484" width="6.53125" customWidth="1"/>
    <col min="9485" max="9485" width="8" customWidth="1"/>
    <col min="9486" max="9486" width="7.53125" customWidth="1"/>
    <col min="9487" max="9726" width="9.19921875"/>
    <col min="9727" max="9727" width="12.796875" customWidth="1"/>
    <col min="9728" max="9728" width="7.796875" bestFit="1" customWidth="1"/>
    <col min="9729" max="9729" width="5.19921875" customWidth="1"/>
    <col min="9730" max="9730" width="4.46484375" customWidth="1"/>
    <col min="9731" max="9731" width="11.46484375" customWidth="1"/>
    <col min="9732" max="9732" width="9.796875" customWidth="1"/>
    <col min="9733" max="9733" width="8.796875" bestFit="1" customWidth="1"/>
    <col min="9734" max="9734" width="11.19921875" customWidth="1"/>
    <col min="9735" max="9735" width="16.53125" customWidth="1"/>
    <col min="9736" max="9736" width="7.53125" customWidth="1"/>
    <col min="9737" max="9737" width="8" customWidth="1"/>
    <col min="9738" max="9739" width="8.19921875" customWidth="1"/>
    <col min="9740" max="9740" width="6.53125" customWidth="1"/>
    <col min="9741" max="9741" width="8" customWidth="1"/>
    <col min="9742" max="9742" width="7.53125" customWidth="1"/>
    <col min="9743" max="9982" width="9.19921875"/>
    <col min="9983" max="9983" width="12.796875" customWidth="1"/>
    <col min="9984" max="9984" width="7.796875" bestFit="1" customWidth="1"/>
    <col min="9985" max="9985" width="5.19921875" customWidth="1"/>
    <col min="9986" max="9986" width="4.46484375" customWidth="1"/>
    <col min="9987" max="9987" width="11.46484375" customWidth="1"/>
    <col min="9988" max="9988" width="9.796875" customWidth="1"/>
    <col min="9989" max="9989" width="8.796875" bestFit="1" customWidth="1"/>
    <col min="9990" max="9990" width="11.19921875" customWidth="1"/>
    <col min="9991" max="9991" width="16.53125" customWidth="1"/>
    <col min="9992" max="9992" width="7.53125" customWidth="1"/>
    <col min="9993" max="9993" width="8" customWidth="1"/>
    <col min="9994" max="9995" width="8.19921875" customWidth="1"/>
    <col min="9996" max="9996" width="6.53125" customWidth="1"/>
    <col min="9997" max="9997" width="8" customWidth="1"/>
    <col min="9998" max="9998" width="7.53125" customWidth="1"/>
    <col min="9999" max="10238" width="9.19921875"/>
    <col min="10239" max="10239" width="12.796875" customWidth="1"/>
    <col min="10240" max="10240" width="7.796875" bestFit="1" customWidth="1"/>
    <col min="10241" max="10241" width="5.19921875" customWidth="1"/>
    <col min="10242" max="10242" width="4.46484375" customWidth="1"/>
    <col min="10243" max="10243" width="11.46484375" customWidth="1"/>
    <col min="10244" max="10244" width="9.796875" customWidth="1"/>
    <col min="10245" max="10245" width="8.796875" bestFit="1" customWidth="1"/>
    <col min="10246" max="10246" width="11.19921875" customWidth="1"/>
    <col min="10247" max="10247" width="16.53125" customWidth="1"/>
    <col min="10248" max="10248" width="7.53125" customWidth="1"/>
    <col min="10249" max="10249" width="8" customWidth="1"/>
    <col min="10250" max="10251" width="8.19921875" customWidth="1"/>
    <col min="10252" max="10252" width="6.53125" customWidth="1"/>
    <col min="10253" max="10253" width="8" customWidth="1"/>
    <col min="10254" max="10254" width="7.53125" customWidth="1"/>
    <col min="10255" max="10494" width="9.19921875"/>
    <col min="10495" max="10495" width="12.796875" customWidth="1"/>
    <col min="10496" max="10496" width="7.796875" bestFit="1" customWidth="1"/>
    <col min="10497" max="10497" width="5.19921875" customWidth="1"/>
    <col min="10498" max="10498" width="4.46484375" customWidth="1"/>
    <col min="10499" max="10499" width="11.46484375" customWidth="1"/>
    <col min="10500" max="10500" width="9.796875" customWidth="1"/>
    <col min="10501" max="10501" width="8.796875" bestFit="1" customWidth="1"/>
    <col min="10502" max="10502" width="11.19921875" customWidth="1"/>
    <col min="10503" max="10503" width="16.53125" customWidth="1"/>
    <col min="10504" max="10504" width="7.53125" customWidth="1"/>
    <col min="10505" max="10505" width="8" customWidth="1"/>
    <col min="10506" max="10507" width="8.19921875" customWidth="1"/>
    <col min="10508" max="10508" width="6.53125" customWidth="1"/>
    <col min="10509" max="10509" width="8" customWidth="1"/>
    <col min="10510" max="10510" width="7.53125" customWidth="1"/>
    <col min="10511" max="10750" width="9.19921875"/>
    <col min="10751" max="10751" width="12.796875" customWidth="1"/>
    <col min="10752" max="10752" width="7.796875" bestFit="1" customWidth="1"/>
    <col min="10753" max="10753" width="5.19921875" customWidth="1"/>
    <col min="10754" max="10754" width="4.46484375" customWidth="1"/>
    <col min="10755" max="10755" width="11.46484375" customWidth="1"/>
    <col min="10756" max="10756" width="9.796875" customWidth="1"/>
    <col min="10757" max="10757" width="8.796875" bestFit="1" customWidth="1"/>
    <col min="10758" max="10758" width="11.19921875" customWidth="1"/>
    <col min="10759" max="10759" width="16.53125" customWidth="1"/>
    <col min="10760" max="10760" width="7.53125" customWidth="1"/>
    <col min="10761" max="10761" width="8" customWidth="1"/>
    <col min="10762" max="10763" width="8.19921875" customWidth="1"/>
    <col min="10764" max="10764" width="6.53125" customWidth="1"/>
    <col min="10765" max="10765" width="8" customWidth="1"/>
    <col min="10766" max="10766" width="7.53125" customWidth="1"/>
    <col min="10767" max="11006" width="9.19921875"/>
    <col min="11007" max="11007" width="12.796875" customWidth="1"/>
    <col min="11008" max="11008" width="7.796875" bestFit="1" customWidth="1"/>
    <col min="11009" max="11009" width="5.19921875" customWidth="1"/>
    <col min="11010" max="11010" width="4.46484375" customWidth="1"/>
    <col min="11011" max="11011" width="11.46484375" customWidth="1"/>
    <col min="11012" max="11012" width="9.796875" customWidth="1"/>
    <col min="11013" max="11013" width="8.796875" bestFit="1" customWidth="1"/>
    <col min="11014" max="11014" width="11.19921875" customWidth="1"/>
    <col min="11015" max="11015" width="16.53125" customWidth="1"/>
    <col min="11016" max="11016" width="7.53125" customWidth="1"/>
    <col min="11017" max="11017" width="8" customWidth="1"/>
    <col min="11018" max="11019" width="8.19921875" customWidth="1"/>
    <col min="11020" max="11020" width="6.53125" customWidth="1"/>
    <col min="11021" max="11021" width="8" customWidth="1"/>
    <col min="11022" max="11022" width="7.53125" customWidth="1"/>
    <col min="11023" max="11262" width="9.19921875"/>
    <col min="11263" max="11263" width="12.796875" customWidth="1"/>
    <col min="11264" max="11264" width="7.796875" bestFit="1" customWidth="1"/>
    <col min="11265" max="11265" width="5.19921875" customWidth="1"/>
    <col min="11266" max="11266" width="4.46484375" customWidth="1"/>
    <col min="11267" max="11267" width="11.46484375" customWidth="1"/>
    <col min="11268" max="11268" width="9.796875" customWidth="1"/>
    <col min="11269" max="11269" width="8.796875" bestFit="1" customWidth="1"/>
    <col min="11270" max="11270" width="11.19921875" customWidth="1"/>
    <col min="11271" max="11271" width="16.53125" customWidth="1"/>
    <col min="11272" max="11272" width="7.53125" customWidth="1"/>
    <col min="11273" max="11273" width="8" customWidth="1"/>
    <col min="11274" max="11275" width="8.19921875" customWidth="1"/>
    <col min="11276" max="11276" width="6.53125" customWidth="1"/>
    <col min="11277" max="11277" width="8" customWidth="1"/>
    <col min="11278" max="11278" width="7.53125" customWidth="1"/>
    <col min="11279" max="11518" width="9.19921875"/>
    <col min="11519" max="11519" width="12.796875" customWidth="1"/>
    <col min="11520" max="11520" width="7.796875" bestFit="1" customWidth="1"/>
    <col min="11521" max="11521" width="5.19921875" customWidth="1"/>
    <col min="11522" max="11522" width="4.46484375" customWidth="1"/>
    <col min="11523" max="11523" width="11.46484375" customWidth="1"/>
    <col min="11524" max="11524" width="9.796875" customWidth="1"/>
    <col min="11525" max="11525" width="8.796875" bestFit="1" customWidth="1"/>
    <col min="11526" max="11526" width="11.19921875" customWidth="1"/>
    <col min="11527" max="11527" width="16.53125" customWidth="1"/>
    <col min="11528" max="11528" width="7.53125" customWidth="1"/>
    <col min="11529" max="11529" width="8" customWidth="1"/>
    <col min="11530" max="11531" width="8.19921875" customWidth="1"/>
    <col min="11532" max="11532" width="6.53125" customWidth="1"/>
    <col min="11533" max="11533" width="8" customWidth="1"/>
    <col min="11534" max="11534" width="7.53125" customWidth="1"/>
    <col min="11535" max="11774" width="9.19921875"/>
    <col min="11775" max="11775" width="12.796875" customWidth="1"/>
    <col min="11776" max="11776" width="7.796875" bestFit="1" customWidth="1"/>
    <col min="11777" max="11777" width="5.19921875" customWidth="1"/>
    <col min="11778" max="11778" width="4.46484375" customWidth="1"/>
    <col min="11779" max="11779" width="11.46484375" customWidth="1"/>
    <col min="11780" max="11780" width="9.796875" customWidth="1"/>
    <col min="11781" max="11781" width="8.796875" bestFit="1" customWidth="1"/>
    <col min="11782" max="11782" width="11.19921875" customWidth="1"/>
    <col min="11783" max="11783" width="16.53125" customWidth="1"/>
    <col min="11784" max="11784" width="7.53125" customWidth="1"/>
    <col min="11785" max="11785" width="8" customWidth="1"/>
    <col min="11786" max="11787" width="8.19921875" customWidth="1"/>
    <col min="11788" max="11788" width="6.53125" customWidth="1"/>
    <col min="11789" max="11789" width="8" customWidth="1"/>
    <col min="11790" max="11790" width="7.53125" customWidth="1"/>
    <col min="11791" max="12030" width="9.19921875"/>
    <col min="12031" max="12031" width="12.796875" customWidth="1"/>
    <col min="12032" max="12032" width="7.796875" bestFit="1" customWidth="1"/>
    <col min="12033" max="12033" width="5.19921875" customWidth="1"/>
    <col min="12034" max="12034" width="4.46484375" customWidth="1"/>
    <col min="12035" max="12035" width="11.46484375" customWidth="1"/>
    <col min="12036" max="12036" width="9.796875" customWidth="1"/>
    <col min="12037" max="12037" width="8.796875" bestFit="1" customWidth="1"/>
    <col min="12038" max="12038" width="11.19921875" customWidth="1"/>
    <col min="12039" max="12039" width="16.53125" customWidth="1"/>
    <col min="12040" max="12040" width="7.53125" customWidth="1"/>
    <col min="12041" max="12041" width="8" customWidth="1"/>
    <col min="12042" max="12043" width="8.19921875" customWidth="1"/>
    <col min="12044" max="12044" width="6.53125" customWidth="1"/>
    <col min="12045" max="12045" width="8" customWidth="1"/>
    <col min="12046" max="12046" width="7.53125" customWidth="1"/>
    <col min="12047" max="12286" width="9.19921875"/>
    <col min="12287" max="12287" width="12.796875" customWidth="1"/>
    <col min="12288" max="12288" width="7.796875" bestFit="1" customWidth="1"/>
    <col min="12289" max="12289" width="5.19921875" customWidth="1"/>
    <col min="12290" max="12290" width="4.46484375" customWidth="1"/>
    <col min="12291" max="12291" width="11.46484375" customWidth="1"/>
    <col min="12292" max="12292" width="9.796875" customWidth="1"/>
    <col min="12293" max="12293" width="8.796875" bestFit="1" customWidth="1"/>
    <col min="12294" max="12294" width="11.19921875" customWidth="1"/>
    <col min="12295" max="12295" width="16.53125" customWidth="1"/>
    <col min="12296" max="12296" width="7.53125" customWidth="1"/>
    <col min="12297" max="12297" width="8" customWidth="1"/>
    <col min="12298" max="12299" width="8.19921875" customWidth="1"/>
    <col min="12300" max="12300" width="6.53125" customWidth="1"/>
    <col min="12301" max="12301" width="8" customWidth="1"/>
    <col min="12302" max="12302" width="7.53125" customWidth="1"/>
    <col min="12303" max="12542" width="9.19921875"/>
    <col min="12543" max="12543" width="12.796875" customWidth="1"/>
    <col min="12544" max="12544" width="7.796875" bestFit="1" customWidth="1"/>
    <col min="12545" max="12545" width="5.19921875" customWidth="1"/>
    <col min="12546" max="12546" width="4.46484375" customWidth="1"/>
    <col min="12547" max="12547" width="11.46484375" customWidth="1"/>
    <col min="12548" max="12548" width="9.796875" customWidth="1"/>
    <col min="12549" max="12549" width="8.796875" bestFit="1" customWidth="1"/>
    <col min="12550" max="12550" width="11.19921875" customWidth="1"/>
    <col min="12551" max="12551" width="16.53125" customWidth="1"/>
    <col min="12552" max="12552" width="7.53125" customWidth="1"/>
    <col min="12553" max="12553" width="8" customWidth="1"/>
    <col min="12554" max="12555" width="8.19921875" customWidth="1"/>
    <col min="12556" max="12556" width="6.53125" customWidth="1"/>
    <col min="12557" max="12557" width="8" customWidth="1"/>
    <col min="12558" max="12558" width="7.53125" customWidth="1"/>
    <col min="12559" max="12798" width="9.19921875"/>
    <col min="12799" max="12799" width="12.796875" customWidth="1"/>
    <col min="12800" max="12800" width="7.796875" bestFit="1" customWidth="1"/>
    <col min="12801" max="12801" width="5.19921875" customWidth="1"/>
    <col min="12802" max="12802" width="4.46484375" customWidth="1"/>
    <col min="12803" max="12803" width="11.46484375" customWidth="1"/>
    <col min="12804" max="12804" width="9.796875" customWidth="1"/>
    <col min="12805" max="12805" width="8.796875" bestFit="1" customWidth="1"/>
    <col min="12806" max="12806" width="11.19921875" customWidth="1"/>
    <col min="12807" max="12807" width="16.53125" customWidth="1"/>
    <col min="12808" max="12808" width="7.53125" customWidth="1"/>
    <col min="12809" max="12809" width="8" customWidth="1"/>
    <col min="12810" max="12811" width="8.19921875" customWidth="1"/>
    <col min="12812" max="12812" width="6.53125" customWidth="1"/>
    <col min="12813" max="12813" width="8" customWidth="1"/>
    <col min="12814" max="12814" width="7.53125" customWidth="1"/>
    <col min="12815" max="13054" width="9.19921875"/>
    <col min="13055" max="13055" width="12.796875" customWidth="1"/>
    <col min="13056" max="13056" width="7.796875" bestFit="1" customWidth="1"/>
    <col min="13057" max="13057" width="5.19921875" customWidth="1"/>
    <col min="13058" max="13058" width="4.46484375" customWidth="1"/>
    <col min="13059" max="13059" width="11.46484375" customWidth="1"/>
    <col min="13060" max="13060" width="9.796875" customWidth="1"/>
    <col min="13061" max="13061" width="8.796875" bestFit="1" customWidth="1"/>
    <col min="13062" max="13062" width="11.19921875" customWidth="1"/>
    <col min="13063" max="13063" width="16.53125" customWidth="1"/>
    <col min="13064" max="13064" width="7.53125" customWidth="1"/>
    <col min="13065" max="13065" width="8" customWidth="1"/>
    <col min="13066" max="13067" width="8.19921875" customWidth="1"/>
    <col min="13068" max="13068" width="6.53125" customWidth="1"/>
    <col min="13069" max="13069" width="8" customWidth="1"/>
    <col min="13070" max="13070" width="7.53125" customWidth="1"/>
    <col min="13071" max="13310" width="9.19921875"/>
    <col min="13311" max="13311" width="12.796875" customWidth="1"/>
    <col min="13312" max="13312" width="7.796875" bestFit="1" customWidth="1"/>
    <col min="13313" max="13313" width="5.19921875" customWidth="1"/>
    <col min="13314" max="13314" width="4.46484375" customWidth="1"/>
    <col min="13315" max="13315" width="11.46484375" customWidth="1"/>
    <col min="13316" max="13316" width="9.796875" customWidth="1"/>
    <col min="13317" max="13317" width="8.796875" bestFit="1" customWidth="1"/>
    <col min="13318" max="13318" width="11.19921875" customWidth="1"/>
    <col min="13319" max="13319" width="16.53125" customWidth="1"/>
    <col min="13320" max="13320" width="7.53125" customWidth="1"/>
    <col min="13321" max="13321" width="8" customWidth="1"/>
    <col min="13322" max="13323" width="8.19921875" customWidth="1"/>
    <col min="13324" max="13324" width="6.53125" customWidth="1"/>
    <col min="13325" max="13325" width="8" customWidth="1"/>
    <col min="13326" max="13326" width="7.53125" customWidth="1"/>
    <col min="13327" max="13566" width="9.19921875"/>
    <col min="13567" max="13567" width="12.796875" customWidth="1"/>
    <col min="13568" max="13568" width="7.796875" bestFit="1" customWidth="1"/>
    <col min="13569" max="13569" width="5.19921875" customWidth="1"/>
    <col min="13570" max="13570" width="4.46484375" customWidth="1"/>
    <col min="13571" max="13571" width="11.46484375" customWidth="1"/>
    <col min="13572" max="13572" width="9.796875" customWidth="1"/>
    <col min="13573" max="13573" width="8.796875" bestFit="1" customWidth="1"/>
    <col min="13574" max="13574" width="11.19921875" customWidth="1"/>
    <col min="13575" max="13575" width="16.53125" customWidth="1"/>
    <col min="13576" max="13576" width="7.53125" customWidth="1"/>
    <col min="13577" max="13577" width="8" customWidth="1"/>
    <col min="13578" max="13579" width="8.19921875" customWidth="1"/>
    <col min="13580" max="13580" width="6.53125" customWidth="1"/>
    <col min="13581" max="13581" width="8" customWidth="1"/>
    <col min="13582" max="13582" width="7.53125" customWidth="1"/>
    <col min="13583" max="13822" width="9.19921875"/>
    <col min="13823" max="13823" width="12.796875" customWidth="1"/>
    <col min="13824" max="13824" width="7.796875" bestFit="1" customWidth="1"/>
    <col min="13825" max="13825" width="5.19921875" customWidth="1"/>
    <col min="13826" max="13826" width="4.46484375" customWidth="1"/>
    <col min="13827" max="13827" width="11.46484375" customWidth="1"/>
    <col min="13828" max="13828" width="9.796875" customWidth="1"/>
    <col min="13829" max="13829" width="8.796875" bestFit="1" customWidth="1"/>
    <col min="13830" max="13830" width="11.19921875" customWidth="1"/>
    <col min="13831" max="13831" width="16.53125" customWidth="1"/>
    <col min="13832" max="13832" width="7.53125" customWidth="1"/>
    <col min="13833" max="13833" width="8" customWidth="1"/>
    <col min="13834" max="13835" width="8.19921875" customWidth="1"/>
    <col min="13836" max="13836" width="6.53125" customWidth="1"/>
    <col min="13837" max="13837" width="8" customWidth="1"/>
    <col min="13838" max="13838" width="7.53125" customWidth="1"/>
    <col min="13839" max="14078" width="9.19921875"/>
    <col min="14079" max="14079" width="12.796875" customWidth="1"/>
    <col min="14080" max="14080" width="7.796875" bestFit="1" customWidth="1"/>
    <col min="14081" max="14081" width="5.19921875" customWidth="1"/>
    <col min="14082" max="14082" width="4.46484375" customWidth="1"/>
    <col min="14083" max="14083" width="11.46484375" customWidth="1"/>
    <col min="14084" max="14084" width="9.796875" customWidth="1"/>
    <col min="14085" max="14085" width="8.796875" bestFit="1" customWidth="1"/>
    <col min="14086" max="14086" width="11.19921875" customWidth="1"/>
    <col min="14087" max="14087" width="16.53125" customWidth="1"/>
    <col min="14088" max="14088" width="7.53125" customWidth="1"/>
    <col min="14089" max="14089" width="8" customWidth="1"/>
    <col min="14090" max="14091" width="8.19921875" customWidth="1"/>
    <col min="14092" max="14092" width="6.53125" customWidth="1"/>
    <col min="14093" max="14093" width="8" customWidth="1"/>
    <col min="14094" max="14094" width="7.53125" customWidth="1"/>
    <col min="14095" max="14334" width="9.19921875"/>
    <col min="14335" max="14335" width="12.796875" customWidth="1"/>
    <col min="14336" max="14336" width="7.796875" bestFit="1" customWidth="1"/>
    <col min="14337" max="14337" width="5.19921875" customWidth="1"/>
    <col min="14338" max="14338" width="4.46484375" customWidth="1"/>
    <col min="14339" max="14339" width="11.46484375" customWidth="1"/>
    <col min="14340" max="14340" width="9.796875" customWidth="1"/>
    <col min="14341" max="14341" width="8.796875" bestFit="1" customWidth="1"/>
    <col min="14342" max="14342" width="11.19921875" customWidth="1"/>
    <col min="14343" max="14343" width="16.53125" customWidth="1"/>
    <col min="14344" max="14344" width="7.53125" customWidth="1"/>
    <col min="14345" max="14345" width="8" customWidth="1"/>
    <col min="14346" max="14347" width="8.19921875" customWidth="1"/>
    <col min="14348" max="14348" width="6.53125" customWidth="1"/>
    <col min="14349" max="14349" width="8" customWidth="1"/>
    <col min="14350" max="14350" width="7.53125" customWidth="1"/>
    <col min="14351" max="14590" width="9.19921875"/>
    <col min="14591" max="14591" width="12.796875" customWidth="1"/>
    <col min="14592" max="14592" width="7.796875" bestFit="1" customWidth="1"/>
    <col min="14593" max="14593" width="5.19921875" customWidth="1"/>
    <col min="14594" max="14594" width="4.46484375" customWidth="1"/>
    <col min="14595" max="14595" width="11.46484375" customWidth="1"/>
    <col min="14596" max="14596" width="9.796875" customWidth="1"/>
    <col min="14597" max="14597" width="8.796875" bestFit="1" customWidth="1"/>
    <col min="14598" max="14598" width="11.19921875" customWidth="1"/>
    <col min="14599" max="14599" width="16.53125" customWidth="1"/>
    <col min="14600" max="14600" width="7.53125" customWidth="1"/>
    <col min="14601" max="14601" width="8" customWidth="1"/>
    <col min="14602" max="14603" width="8.19921875" customWidth="1"/>
    <col min="14604" max="14604" width="6.53125" customWidth="1"/>
    <col min="14605" max="14605" width="8" customWidth="1"/>
    <col min="14606" max="14606" width="7.53125" customWidth="1"/>
    <col min="14607" max="14846" width="9.19921875"/>
    <col min="14847" max="14847" width="12.796875" customWidth="1"/>
    <col min="14848" max="14848" width="7.796875" bestFit="1" customWidth="1"/>
    <col min="14849" max="14849" width="5.19921875" customWidth="1"/>
    <col min="14850" max="14850" width="4.46484375" customWidth="1"/>
    <col min="14851" max="14851" width="11.46484375" customWidth="1"/>
    <col min="14852" max="14852" width="9.796875" customWidth="1"/>
    <col min="14853" max="14853" width="8.796875" bestFit="1" customWidth="1"/>
    <col min="14854" max="14854" width="11.19921875" customWidth="1"/>
    <col min="14855" max="14855" width="16.53125" customWidth="1"/>
    <col min="14856" max="14856" width="7.53125" customWidth="1"/>
    <col min="14857" max="14857" width="8" customWidth="1"/>
    <col min="14858" max="14859" width="8.19921875" customWidth="1"/>
    <col min="14860" max="14860" width="6.53125" customWidth="1"/>
    <col min="14861" max="14861" width="8" customWidth="1"/>
    <col min="14862" max="14862" width="7.53125" customWidth="1"/>
    <col min="14863" max="15102" width="9.19921875"/>
    <col min="15103" max="15103" width="12.796875" customWidth="1"/>
    <col min="15104" max="15104" width="7.796875" bestFit="1" customWidth="1"/>
    <col min="15105" max="15105" width="5.19921875" customWidth="1"/>
    <col min="15106" max="15106" width="4.46484375" customWidth="1"/>
    <col min="15107" max="15107" width="11.46484375" customWidth="1"/>
    <col min="15108" max="15108" width="9.796875" customWidth="1"/>
    <col min="15109" max="15109" width="8.796875" bestFit="1" customWidth="1"/>
    <col min="15110" max="15110" width="11.19921875" customWidth="1"/>
    <col min="15111" max="15111" width="16.53125" customWidth="1"/>
    <col min="15112" max="15112" width="7.53125" customWidth="1"/>
    <col min="15113" max="15113" width="8" customWidth="1"/>
    <col min="15114" max="15115" width="8.19921875" customWidth="1"/>
    <col min="15116" max="15116" width="6.53125" customWidth="1"/>
    <col min="15117" max="15117" width="8" customWidth="1"/>
    <col min="15118" max="15118" width="7.53125" customWidth="1"/>
    <col min="15119" max="15358" width="9.19921875"/>
    <col min="15359" max="15359" width="12.796875" customWidth="1"/>
    <col min="15360" max="15360" width="7.796875" bestFit="1" customWidth="1"/>
    <col min="15361" max="15361" width="5.19921875" customWidth="1"/>
    <col min="15362" max="15362" width="4.46484375" customWidth="1"/>
    <col min="15363" max="15363" width="11.46484375" customWidth="1"/>
    <col min="15364" max="15364" width="9.796875" customWidth="1"/>
    <col min="15365" max="15365" width="8.796875" bestFit="1" customWidth="1"/>
    <col min="15366" max="15366" width="11.19921875" customWidth="1"/>
    <col min="15367" max="15367" width="16.53125" customWidth="1"/>
    <col min="15368" max="15368" width="7.53125" customWidth="1"/>
    <col min="15369" max="15369" width="8" customWidth="1"/>
    <col min="15370" max="15371" width="8.19921875" customWidth="1"/>
    <col min="15372" max="15372" width="6.53125" customWidth="1"/>
    <col min="15373" max="15373" width="8" customWidth="1"/>
    <col min="15374" max="15374" width="7.53125" customWidth="1"/>
    <col min="15375" max="15614" width="9.19921875"/>
    <col min="15615" max="15615" width="12.796875" customWidth="1"/>
    <col min="15616" max="15616" width="7.796875" bestFit="1" customWidth="1"/>
    <col min="15617" max="15617" width="5.19921875" customWidth="1"/>
    <col min="15618" max="15618" width="4.46484375" customWidth="1"/>
    <col min="15619" max="15619" width="11.46484375" customWidth="1"/>
    <col min="15620" max="15620" width="9.796875" customWidth="1"/>
    <col min="15621" max="15621" width="8.796875" bestFit="1" customWidth="1"/>
    <col min="15622" max="15622" width="11.19921875" customWidth="1"/>
    <col min="15623" max="15623" width="16.53125" customWidth="1"/>
    <col min="15624" max="15624" width="7.53125" customWidth="1"/>
    <col min="15625" max="15625" width="8" customWidth="1"/>
    <col min="15626" max="15627" width="8.19921875" customWidth="1"/>
    <col min="15628" max="15628" width="6.53125" customWidth="1"/>
    <col min="15629" max="15629" width="8" customWidth="1"/>
    <col min="15630" max="15630" width="7.53125" customWidth="1"/>
    <col min="15631" max="15870" width="9.19921875"/>
    <col min="15871" max="15871" width="12.796875" customWidth="1"/>
    <col min="15872" max="15872" width="7.796875" bestFit="1" customWidth="1"/>
    <col min="15873" max="15873" width="5.19921875" customWidth="1"/>
    <col min="15874" max="15874" width="4.46484375" customWidth="1"/>
    <col min="15875" max="15875" width="11.46484375" customWidth="1"/>
    <col min="15876" max="15876" width="9.796875" customWidth="1"/>
    <col min="15877" max="15877" width="8.796875" bestFit="1" customWidth="1"/>
    <col min="15878" max="15878" width="11.19921875" customWidth="1"/>
    <col min="15879" max="15879" width="16.53125" customWidth="1"/>
    <col min="15880" max="15880" width="7.53125" customWidth="1"/>
    <col min="15881" max="15881" width="8" customWidth="1"/>
    <col min="15882" max="15883" width="8.19921875" customWidth="1"/>
    <col min="15884" max="15884" width="6.53125" customWidth="1"/>
    <col min="15885" max="15885" width="8" customWidth="1"/>
    <col min="15886" max="15886" width="7.53125" customWidth="1"/>
    <col min="15887" max="16126" width="9.19921875"/>
    <col min="16127" max="16127" width="12.796875" customWidth="1"/>
    <col min="16128" max="16128" width="7.796875" bestFit="1" customWidth="1"/>
    <col min="16129" max="16129" width="5.19921875" customWidth="1"/>
    <col min="16130" max="16130" width="4.46484375" customWidth="1"/>
    <col min="16131" max="16131" width="11.46484375" customWidth="1"/>
    <col min="16132" max="16132" width="9.796875" customWidth="1"/>
    <col min="16133" max="16133" width="8.796875" bestFit="1" customWidth="1"/>
    <col min="16134" max="16134" width="11.19921875" customWidth="1"/>
    <col min="16135" max="16135" width="16.53125" customWidth="1"/>
    <col min="16136" max="16136" width="7.53125" customWidth="1"/>
    <col min="16137" max="16137" width="8" customWidth="1"/>
    <col min="16138" max="16139" width="8.19921875" customWidth="1"/>
    <col min="16140" max="16140" width="6.53125" customWidth="1"/>
    <col min="16141" max="16141" width="8" customWidth="1"/>
    <col min="16142" max="16142" width="7.53125" customWidth="1"/>
    <col min="16143" max="16384" width="9.19921875"/>
  </cols>
  <sheetData>
    <row r="1" spans="1:14">
      <c r="A1" s="1807" t="s">
        <v>1805</v>
      </c>
      <c r="B1" s="1807"/>
    </row>
    <row r="2" spans="1:14">
      <c r="A2" s="1829" t="str">
        <f>+'BS1'!A2</f>
        <v>NIDP DEVELOPERS PRIVATE LIMITED</v>
      </c>
      <c r="B2" s="1829"/>
      <c r="C2" s="1829"/>
      <c r="D2" s="1829"/>
      <c r="E2" s="1829"/>
      <c r="F2" s="1829"/>
      <c r="G2" s="1829"/>
      <c r="H2" s="1829"/>
      <c r="I2" s="1829"/>
      <c r="J2" s="1829"/>
      <c r="K2" s="1829"/>
      <c r="L2" s="176"/>
      <c r="M2" s="176"/>
      <c r="N2" s="176"/>
    </row>
    <row r="3" spans="1:14">
      <c r="A3" s="215" t="s">
        <v>549</v>
      </c>
      <c r="B3" s="815"/>
      <c r="C3" s="815"/>
      <c r="D3" s="815"/>
      <c r="E3" s="815"/>
      <c r="F3" s="215"/>
      <c r="G3" s="215"/>
      <c r="H3" s="215"/>
      <c r="I3" s="215"/>
      <c r="J3" s="215"/>
      <c r="K3" s="174"/>
      <c r="L3" s="174"/>
      <c r="M3" s="174"/>
      <c r="N3" s="174"/>
    </row>
    <row r="4" spans="1:14">
      <c r="B4" s="32"/>
      <c r="K4" s="2"/>
    </row>
    <row r="5" spans="1:14">
      <c r="A5" s="220" t="s">
        <v>550</v>
      </c>
      <c r="B5" s="182" t="s">
        <v>551</v>
      </c>
      <c r="C5" s="182" t="s">
        <v>552</v>
      </c>
      <c r="D5" s="182" t="s">
        <v>553</v>
      </c>
      <c r="E5" s="182" t="s">
        <v>2078</v>
      </c>
    </row>
    <row r="6" spans="1:14">
      <c r="A6" s="68" t="s">
        <v>554</v>
      </c>
      <c r="B6" s="1830" t="s">
        <v>2062</v>
      </c>
      <c r="C6" s="1831"/>
      <c r="D6" s="1831"/>
      <c r="E6" s="1832"/>
    </row>
    <row r="7" spans="1:14">
      <c r="A7" s="68" t="s">
        <v>555</v>
      </c>
      <c r="B7" s="1833"/>
      <c r="C7" s="1834"/>
      <c r="D7" s="1834"/>
      <c r="E7" s="1835"/>
    </row>
    <row r="8" spans="1:14">
      <c r="A8" s="68" t="s">
        <v>556</v>
      </c>
      <c r="B8" s="1833"/>
      <c r="C8" s="1834"/>
      <c r="D8" s="1834"/>
      <c r="E8" s="1835"/>
    </row>
    <row r="9" spans="1:14">
      <c r="A9" s="68" t="s">
        <v>557</v>
      </c>
      <c r="B9" s="1833"/>
      <c r="C9" s="1834"/>
      <c r="D9" s="1834"/>
      <c r="E9" s="1835"/>
    </row>
    <row r="10" spans="1:14">
      <c r="A10" s="68" t="s">
        <v>558</v>
      </c>
      <c r="B10" s="1833"/>
      <c r="C10" s="1834"/>
      <c r="D10" s="1834"/>
      <c r="E10" s="1835"/>
    </row>
    <row r="11" spans="1:14" ht="28.5">
      <c r="A11" s="68" t="s">
        <v>559</v>
      </c>
      <c r="B11" s="1833"/>
      <c r="C11" s="1834"/>
      <c r="D11" s="1834"/>
      <c r="E11" s="1835"/>
    </row>
    <row r="12" spans="1:14">
      <c r="A12" s="68" t="s">
        <v>560</v>
      </c>
      <c r="B12" s="1833"/>
      <c r="C12" s="1834"/>
      <c r="D12" s="1834"/>
      <c r="E12" s="1835"/>
    </row>
    <row r="13" spans="1:14" ht="28.5">
      <c r="A13" s="68" t="s">
        <v>2080</v>
      </c>
      <c r="B13" s="1833"/>
      <c r="C13" s="1834"/>
      <c r="D13" s="1834"/>
      <c r="E13" s="1835"/>
    </row>
    <row r="14" spans="1:14">
      <c r="A14" s="68" t="s">
        <v>561</v>
      </c>
      <c r="B14" s="1833"/>
      <c r="C14" s="1834"/>
      <c r="D14" s="1834"/>
      <c r="E14" s="1835"/>
    </row>
    <row r="15" spans="1:14">
      <c r="A15" s="68" t="s">
        <v>562</v>
      </c>
      <c r="B15" s="1833"/>
      <c r="C15" s="1834"/>
      <c r="D15" s="1834"/>
      <c r="E15" s="1835"/>
    </row>
    <row r="16" spans="1:14" ht="28.5">
      <c r="A16" s="68" t="s">
        <v>563</v>
      </c>
      <c r="B16" s="1833"/>
      <c r="C16" s="1834"/>
      <c r="D16" s="1834"/>
      <c r="E16" s="1835"/>
    </row>
    <row r="17" spans="1:5">
      <c r="A17" s="68" t="s">
        <v>564</v>
      </c>
      <c r="B17" s="1833"/>
      <c r="C17" s="1834"/>
      <c r="D17" s="1834"/>
      <c r="E17" s="1835"/>
    </row>
    <row r="18" spans="1:5" ht="28.5">
      <c r="A18" s="68" t="s">
        <v>565</v>
      </c>
      <c r="B18" s="1833"/>
      <c r="C18" s="1834"/>
      <c r="D18" s="1834"/>
      <c r="E18" s="1835"/>
    </row>
    <row r="19" spans="1:5">
      <c r="A19" s="68" t="s">
        <v>566</v>
      </c>
      <c r="B19" s="1833"/>
      <c r="C19" s="1834"/>
      <c r="D19" s="1834"/>
      <c r="E19" s="1835"/>
    </row>
    <row r="20" spans="1:5" ht="28.5">
      <c r="A20" s="68" t="s">
        <v>567</v>
      </c>
      <c r="B20" s="1833"/>
      <c r="C20" s="1834"/>
      <c r="D20" s="1834"/>
      <c r="E20" s="1835"/>
    </row>
    <row r="21" spans="1:5">
      <c r="A21" s="217" t="s">
        <v>568</v>
      </c>
      <c r="B21" s="1833"/>
      <c r="C21" s="1834"/>
      <c r="D21" s="1834"/>
      <c r="E21" s="1835"/>
    </row>
    <row r="22" spans="1:5" ht="28.5">
      <c r="A22" s="197" t="s">
        <v>569</v>
      </c>
      <c r="B22" s="1833"/>
      <c r="C22" s="1834"/>
      <c r="D22" s="1834"/>
      <c r="E22" s="1835"/>
    </row>
    <row r="23" spans="1:5" ht="28.5">
      <c r="A23" s="197" t="s">
        <v>570</v>
      </c>
      <c r="B23" s="1833"/>
      <c r="C23" s="1834"/>
      <c r="D23" s="1834"/>
      <c r="E23" s="1835"/>
    </row>
    <row r="24" spans="1:5">
      <c r="A24" s="216" t="s">
        <v>571</v>
      </c>
      <c r="B24" s="1833"/>
      <c r="C24" s="1834"/>
      <c r="D24" s="1834"/>
      <c r="E24" s="1835"/>
    </row>
    <row r="25" spans="1:5" ht="28.5">
      <c r="A25" s="197" t="s">
        <v>572</v>
      </c>
      <c r="B25" s="1833"/>
      <c r="C25" s="1834"/>
      <c r="D25" s="1834"/>
      <c r="E25" s="1835"/>
    </row>
    <row r="26" spans="1:5" ht="28.5">
      <c r="A26" s="197" t="s">
        <v>573</v>
      </c>
      <c r="B26" s="1833"/>
      <c r="C26" s="1834"/>
      <c r="D26" s="1834"/>
      <c r="E26" s="1835"/>
    </row>
    <row r="27" spans="1:5" ht="28.5">
      <c r="A27" s="197" t="s">
        <v>574</v>
      </c>
      <c r="B27" s="1833"/>
      <c r="C27" s="1834"/>
      <c r="D27" s="1834"/>
      <c r="E27" s="1835"/>
    </row>
    <row r="28" spans="1:5" ht="28.5">
      <c r="A28" s="197" t="s">
        <v>575</v>
      </c>
      <c r="B28" s="1833"/>
      <c r="C28" s="1834"/>
      <c r="D28" s="1834"/>
      <c r="E28" s="1835"/>
    </row>
    <row r="29" spans="1:5" ht="28.5">
      <c r="A29" s="197" t="s">
        <v>576</v>
      </c>
      <c r="B29" s="1833"/>
      <c r="C29" s="1834"/>
      <c r="D29" s="1834"/>
      <c r="E29" s="1835"/>
    </row>
    <row r="30" spans="1:5" ht="28.5">
      <c r="A30" s="197" t="s">
        <v>577</v>
      </c>
      <c r="B30" s="1833"/>
      <c r="C30" s="1834"/>
      <c r="D30" s="1834"/>
      <c r="E30" s="1835"/>
    </row>
    <row r="31" spans="1:5" ht="28.5">
      <c r="A31" s="197" t="s">
        <v>578</v>
      </c>
      <c r="B31" s="1833"/>
      <c r="C31" s="1834"/>
      <c r="D31" s="1834"/>
      <c r="E31" s="1835"/>
    </row>
    <row r="32" spans="1:5" ht="28.5">
      <c r="A32" s="197" t="s">
        <v>579</v>
      </c>
      <c r="B32" s="1833"/>
      <c r="C32" s="1834"/>
      <c r="D32" s="1834"/>
      <c r="E32" s="1835"/>
    </row>
    <row r="33" spans="1:5" ht="28.5">
      <c r="A33" s="197" t="s">
        <v>580</v>
      </c>
      <c r="B33" s="1833"/>
      <c r="C33" s="1834"/>
      <c r="D33" s="1834"/>
      <c r="E33" s="1835"/>
    </row>
    <row r="34" spans="1:5" ht="28.5">
      <c r="A34" s="197" t="s">
        <v>581</v>
      </c>
      <c r="B34" s="1833"/>
      <c r="C34" s="1834"/>
      <c r="D34" s="1834"/>
      <c r="E34" s="1835"/>
    </row>
    <row r="35" spans="1:5" ht="28.5">
      <c r="A35" s="197" t="s">
        <v>582</v>
      </c>
      <c r="B35" s="1833"/>
      <c r="C35" s="1834"/>
      <c r="D35" s="1834"/>
      <c r="E35" s="1835"/>
    </row>
    <row r="36" spans="1:5" ht="28.5">
      <c r="A36" s="197" t="s">
        <v>583</v>
      </c>
      <c r="B36" s="1833"/>
      <c r="C36" s="1834"/>
      <c r="D36" s="1834"/>
      <c r="E36" s="1835"/>
    </row>
    <row r="37" spans="1:5" ht="28.5">
      <c r="A37" s="216" t="s">
        <v>584</v>
      </c>
      <c r="B37" s="1833"/>
      <c r="C37" s="1834"/>
      <c r="D37" s="1834"/>
      <c r="E37" s="1835"/>
    </row>
    <row r="38" spans="1:5">
      <c r="A38" s="197" t="s">
        <v>585</v>
      </c>
      <c r="B38" s="1833"/>
      <c r="C38" s="1834"/>
      <c r="D38" s="1834"/>
      <c r="E38" s="1835"/>
    </row>
    <row r="39" spans="1:5" ht="28.5">
      <c r="A39" s="197" t="s">
        <v>586</v>
      </c>
      <c r="B39" s="1833"/>
      <c r="C39" s="1834"/>
      <c r="D39" s="1834"/>
      <c r="E39" s="1835"/>
    </row>
    <row r="40" spans="1:5">
      <c r="A40" s="68" t="s">
        <v>587</v>
      </c>
      <c r="B40" s="1833"/>
      <c r="C40" s="1834"/>
      <c r="D40" s="1834"/>
      <c r="E40" s="1835"/>
    </row>
    <row r="41" spans="1:5" ht="28.5">
      <c r="A41" s="197" t="s">
        <v>588</v>
      </c>
      <c r="B41" s="1833"/>
      <c r="C41" s="1834"/>
      <c r="D41" s="1834"/>
      <c r="E41" s="1835"/>
    </row>
    <row r="42" spans="1:5">
      <c r="A42" s="197" t="s">
        <v>589</v>
      </c>
      <c r="B42" s="1833"/>
      <c r="C42" s="1834"/>
      <c r="D42" s="1834"/>
      <c r="E42" s="1835"/>
    </row>
    <row r="43" spans="1:5">
      <c r="A43" s="197" t="s">
        <v>590</v>
      </c>
      <c r="B43" s="1833"/>
      <c r="C43" s="1834"/>
      <c r="D43" s="1834"/>
      <c r="E43" s="1835"/>
    </row>
    <row r="44" spans="1:5" ht="28.5">
      <c r="A44" s="197" t="s">
        <v>591</v>
      </c>
      <c r="B44" s="1836"/>
      <c r="C44" s="1837"/>
      <c r="D44" s="1837"/>
      <c r="E44" s="1838"/>
    </row>
  </sheetData>
  <mergeCells count="3">
    <mergeCell ref="A1:B1"/>
    <mergeCell ref="A2:K2"/>
    <mergeCell ref="B6:E44"/>
  </mergeCells>
  <printOptions horizontalCentered="1"/>
  <pageMargins left="0.70866141732283472" right="0.70866141732283472" top="0.74803149606299213" bottom="0.74803149606299213" header="0.31496062992125984" footer="0.31496062992125984"/>
  <pageSetup paperSize="5" fitToHeight="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5A9E-F1AD-433A-AE74-2D2DD65D5415}">
  <sheetPr>
    <tabColor rgb="FF00FFFF"/>
    <pageSetUpPr fitToPage="1"/>
  </sheetPr>
  <dimension ref="A1:O26"/>
  <sheetViews>
    <sheetView showGridLines="0" view="pageBreakPreview" zoomScale="90" zoomScaleNormal="90" zoomScaleSheetLayoutView="90" workbookViewId="0">
      <selection activeCell="C14" sqref="C14"/>
    </sheetView>
  </sheetViews>
  <sheetFormatPr defaultRowHeight="15"/>
  <cols>
    <col min="1" max="1" width="1.33203125" style="1155" customWidth="1"/>
    <col min="2" max="2" width="9.06640625" style="1155"/>
    <col min="3" max="3" width="26.19921875" style="1155" customWidth="1"/>
    <col min="4" max="4" width="21" style="1155" customWidth="1"/>
    <col min="5" max="5" width="15" style="1155" customWidth="1"/>
    <col min="6" max="6" width="15.19921875" style="1155" bestFit="1" customWidth="1"/>
    <col min="7" max="7" width="15.19921875" style="1155" customWidth="1"/>
    <col min="8" max="8" width="11.796875" style="1160" bestFit="1" customWidth="1"/>
    <col min="9" max="9" width="15.46484375" style="1155" customWidth="1"/>
    <col min="10" max="11" width="14.19921875" style="1161" customWidth="1"/>
    <col min="12" max="12" width="12.796875" style="1155" customWidth="1"/>
    <col min="13" max="244" width="9.06640625" style="1155"/>
    <col min="245" max="245" width="12.796875" style="1155" customWidth="1"/>
    <col min="246" max="246" width="7.796875" style="1155" bestFit="1" customWidth="1"/>
    <col min="247" max="247" width="5.19921875" style="1155" customWidth="1"/>
    <col min="248" max="248" width="4.46484375" style="1155" customWidth="1"/>
    <col min="249" max="249" width="11.46484375" style="1155" customWidth="1"/>
    <col min="250" max="250" width="9.796875" style="1155" customWidth="1"/>
    <col min="251" max="251" width="8.796875" style="1155" bestFit="1" customWidth="1"/>
    <col min="252" max="252" width="11.19921875" style="1155" customWidth="1"/>
    <col min="253" max="253" width="16.53125" style="1155" customWidth="1"/>
    <col min="254" max="254" width="7.53125" style="1155" customWidth="1"/>
    <col min="255" max="255" width="8" style="1155" customWidth="1"/>
    <col min="256" max="257" width="8.19921875" style="1155" customWidth="1"/>
    <col min="258" max="258" width="6.53125" style="1155" customWidth="1"/>
    <col min="259" max="259" width="8" style="1155" customWidth="1"/>
    <col min="260" max="260" width="7.53125" style="1155" customWidth="1"/>
    <col min="261" max="500" width="9.06640625" style="1155"/>
    <col min="501" max="501" width="12.796875" style="1155" customWidth="1"/>
    <col min="502" max="502" width="7.796875" style="1155" bestFit="1" customWidth="1"/>
    <col min="503" max="503" width="5.19921875" style="1155" customWidth="1"/>
    <col min="504" max="504" width="4.46484375" style="1155" customWidth="1"/>
    <col min="505" max="505" width="11.46484375" style="1155" customWidth="1"/>
    <col min="506" max="506" width="9.796875" style="1155" customWidth="1"/>
    <col min="507" max="507" width="8.796875" style="1155" bestFit="1" customWidth="1"/>
    <col min="508" max="508" width="11.19921875" style="1155" customWidth="1"/>
    <col min="509" max="509" width="16.53125" style="1155" customWidth="1"/>
    <col min="510" max="510" width="7.53125" style="1155" customWidth="1"/>
    <col min="511" max="511" width="8" style="1155" customWidth="1"/>
    <col min="512" max="513" width="8.19921875" style="1155" customWidth="1"/>
    <col min="514" max="514" width="6.53125" style="1155" customWidth="1"/>
    <col min="515" max="515" width="8" style="1155" customWidth="1"/>
    <col min="516" max="516" width="7.53125" style="1155" customWidth="1"/>
    <col min="517" max="756" width="9.06640625" style="1155"/>
    <col min="757" max="757" width="12.796875" style="1155" customWidth="1"/>
    <col min="758" max="758" width="7.796875" style="1155" bestFit="1" customWidth="1"/>
    <col min="759" max="759" width="5.19921875" style="1155" customWidth="1"/>
    <col min="760" max="760" width="4.46484375" style="1155" customWidth="1"/>
    <col min="761" max="761" width="11.46484375" style="1155" customWidth="1"/>
    <col min="762" max="762" width="9.796875" style="1155" customWidth="1"/>
    <col min="763" max="763" width="8.796875" style="1155" bestFit="1" customWidth="1"/>
    <col min="764" max="764" width="11.19921875" style="1155" customWidth="1"/>
    <col min="765" max="765" width="16.53125" style="1155" customWidth="1"/>
    <col min="766" max="766" width="7.53125" style="1155" customWidth="1"/>
    <col min="767" max="767" width="8" style="1155" customWidth="1"/>
    <col min="768" max="769" width="8.19921875" style="1155" customWidth="1"/>
    <col min="770" max="770" width="6.53125" style="1155" customWidth="1"/>
    <col min="771" max="771" width="8" style="1155" customWidth="1"/>
    <col min="772" max="772" width="7.53125" style="1155" customWidth="1"/>
    <col min="773" max="1012" width="9.06640625" style="1155"/>
    <col min="1013" max="1013" width="12.796875" style="1155" customWidth="1"/>
    <col min="1014" max="1014" width="7.796875" style="1155" bestFit="1" customWidth="1"/>
    <col min="1015" max="1015" width="5.19921875" style="1155" customWidth="1"/>
    <col min="1016" max="1016" width="4.46484375" style="1155" customWidth="1"/>
    <col min="1017" max="1017" width="11.46484375" style="1155" customWidth="1"/>
    <col min="1018" max="1018" width="9.796875" style="1155" customWidth="1"/>
    <col min="1019" max="1019" width="8.796875" style="1155" bestFit="1" customWidth="1"/>
    <col min="1020" max="1020" width="11.19921875" style="1155" customWidth="1"/>
    <col min="1021" max="1021" width="16.53125" style="1155" customWidth="1"/>
    <col min="1022" max="1022" width="7.53125" style="1155" customWidth="1"/>
    <col min="1023" max="1023" width="8" style="1155" customWidth="1"/>
    <col min="1024" max="1025" width="8.19921875" style="1155" customWidth="1"/>
    <col min="1026" max="1026" width="6.53125" style="1155" customWidth="1"/>
    <col min="1027" max="1027" width="8" style="1155" customWidth="1"/>
    <col min="1028" max="1028" width="7.53125" style="1155" customWidth="1"/>
    <col min="1029" max="1268" width="9.06640625" style="1155"/>
    <col min="1269" max="1269" width="12.796875" style="1155" customWidth="1"/>
    <col min="1270" max="1270" width="7.796875" style="1155" bestFit="1" customWidth="1"/>
    <col min="1271" max="1271" width="5.19921875" style="1155" customWidth="1"/>
    <col min="1272" max="1272" width="4.46484375" style="1155" customWidth="1"/>
    <col min="1273" max="1273" width="11.46484375" style="1155" customWidth="1"/>
    <col min="1274" max="1274" width="9.796875" style="1155" customWidth="1"/>
    <col min="1275" max="1275" width="8.796875" style="1155" bestFit="1" customWidth="1"/>
    <col min="1276" max="1276" width="11.19921875" style="1155" customWidth="1"/>
    <col min="1277" max="1277" width="16.53125" style="1155" customWidth="1"/>
    <col min="1278" max="1278" width="7.53125" style="1155" customWidth="1"/>
    <col min="1279" max="1279" width="8" style="1155" customWidth="1"/>
    <col min="1280" max="1281" width="8.19921875" style="1155" customWidth="1"/>
    <col min="1282" max="1282" width="6.53125" style="1155" customWidth="1"/>
    <col min="1283" max="1283" width="8" style="1155" customWidth="1"/>
    <col min="1284" max="1284" width="7.53125" style="1155" customWidth="1"/>
    <col min="1285" max="1524" width="9.06640625" style="1155"/>
    <col min="1525" max="1525" width="12.796875" style="1155" customWidth="1"/>
    <col min="1526" max="1526" width="7.796875" style="1155" bestFit="1" customWidth="1"/>
    <col min="1527" max="1527" width="5.19921875" style="1155" customWidth="1"/>
    <col min="1528" max="1528" width="4.46484375" style="1155" customWidth="1"/>
    <col min="1529" max="1529" width="11.46484375" style="1155" customWidth="1"/>
    <col min="1530" max="1530" width="9.796875" style="1155" customWidth="1"/>
    <col min="1531" max="1531" width="8.796875" style="1155" bestFit="1" customWidth="1"/>
    <col min="1532" max="1532" width="11.19921875" style="1155" customWidth="1"/>
    <col min="1533" max="1533" width="16.53125" style="1155" customWidth="1"/>
    <col min="1534" max="1534" width="7.53125" style="1155" customWidth="1"/>
    <col min="1535" max="1535" width="8" style="1155" customWidth="1"/>
    <col min="1536" max="1537" width="8.19921875" style="1155" customWidth="1"/>
    <col min="1538" max="1538" width="6.53125" style="1155" customWidth="1"/>
    <col min="1539" max="1539" width="8" style="1155" customWidth="1"/>
    <col min="1540" max="1540" width="7.53125" style="1155" customWidth="1"/>
    <col min="1541" max="1780" width="9.06640625" style="1155"/>
    <col min="1781" max="1781" width="12.796875" style="1155" customWidth="1"/>
    <col min="1782" max="1782" width="7.796875" style="1155" bestFit="1" customWidth="1"/>
    <col min="1783" max="1783" width="5.19921875" style="1155" customWidth="1"/>
    <col min="1784" max="1784" width="4.46484375" style="1155" customWidth="1"/>
    <col min="1785" max="1785" width="11.46484375" style="1155" customWidth="1"/>
    <col min="1786" max="1786" width="9.796875" style="1155" customWidth="1"/>
    <col min="1787" max="1787" width="8.796875" style="1155" bestFit="1" customWidth="1"/>
    <col min="1788" max="1788" width="11.19921875" style="1155" customWidth="1"/>
    <col min="1789" max="1789" width="16.53125" style="1155" customWidth="1"/>
    <col min="1790" max="1790" width="7.53125" style="1155" customWidth="1"/>
    <col min="1791" max="1791" width="8" style="1155" customWidth="1"/>
    <col min="1792" max="1793" width="8.19921875" style="1155" customWidth="1"/>
    <col min="1794" max="1794" width="6.53125" style="1155" customWidth="1"/>
    <col min="1795" max="1795" width="8" style="1155" customWidth="1"/>
    <col min="1796" max="1796" width="7.53125" style="1155" customWidth="1"/>
    <col min="1797" max="2036" width="9.06640625" style="1155"/>
    <col min="2037" max="2037" width="12.796875" style="1155" customWidth="1"/>
    <col min="2038" max="2038" width="7.796875" style="1155" bestFit="1" customWidth="1"/>
    <col min="2039" max="2039" width="5.19921875" style="1155" customWidth="1"/>
    <col min="2040" max="2040" width="4.46484375" style="1155" customWidth="1"/>
    <col min="2041" max="2041" width="11.46484375" style="1155" customWidth="1"/>
    <col min="2042" max="2042" width="9.796875" style="1155" customWidth="1"/>
    <col min="2043" max="2043" width="8.796875" style="1155" bestFit="1" customWidth="1"/>
    <col min="2044" max="2044" width="11.19921875" style="1155" customWidth="1"/>
    <col min="2045" max="2045" width="16.53125" style="1155" customWidth="1"/>
    <col min="2046" max="2046" width="7.53125" style="1155" customWidth="1"/>
    <col min="2047" max="2047" width="8" style="1155" customWidth="1"/>
    <col min="2048" max="2049" width="8.19921875" style="1155" customWidth="1"/>
    <col min="2050" max="2050" width="6.53125" style="1155" customWidth="1"/>
    <col min="2051" max="2051" width="8" style="1155" customWidth="1"/>
    <col min="2052" max="2052" width="7.53125" style="1155" customWidth="1"/>
    <col min="2053" max="2292" width="9.06640625" style="1155"/>
    <col min="2293" max="2293" width="12.796875" style="1155" customWidth="1"/>
    <col min="2294" max="2294" width="7.796875" style="1155" bestFit="1" customWidth="1"/>
    <col min="2295" max="2295" width="5.19921875" style="1155" customWidth="1"/>
    <col min="2296" max="2296" width="4.46484375" style="1155" customWidth="1"/>
    <col min="2297" max="2297" width="11.46484375" style="1155" customWidth="1"/>
    <col min="2298" max="2298" width="9.796875" style="1155" customWidth="1"/>
    <col min="2299" max="2299" width="8.796875" style="1155" bestFit="1" customWidth="1"/>
    <col min="2300" max="2300" width="11.19921875" style="1155" customWidth="1"/>
    <col min="2301" max="2301" width="16.53125" style="1155" customWidth="1"/>
    <col min="2302" max="2302" width="7.53125" style="1155" customWidth="1"/>
    <col min="2303" max="2303" width="8" style="1155" customWidth="1"/>
    <col min="2304" max="2305" width="8.19921875" style="1155" customWidth="1"/>
    <col min="2306" max="2306" width="6.53125" style="1155" customWidth="1"/>
    <col min="2307" max="2307" width="8" style="1155" customWidth="1"/>
    <col min="2308" max="2308" width="7.53125" style="1155" customWidth="1"/>
    <col min="2309" max="2548" width="9.06640625" style="1155"/>
    <col min="2549" max="2549" width="12.796875" style="1155" customWidth="1"/>
    <col min="2550" max="2550" width="7.796875" style="1155" bestFit="1" customWidth="1"/>
    <col min="2551" max="2551" width="5.19921875" style="1155" customWidth="1"/>
    <col min="2552" max="2552" width="4.46484375" style="1155" customWidth="1"/>
    <col min="2553" max="2553" width="11.46484375" style="1155" customWidth="1"/>
    <col min="2554" max="2554" width="9.796875" style="1155" customWidth="1"/>
    <col min="2555" max="2555" width="8.796875" style="1155" bestFit="1" customWidth="1"/>
    <col min="2556" max="2556" width="11.19921875" style="1155" customWidth="1"/>
    <col min="2557" max="2557" width="16.53125" style="1155" customWidth="1"/>
    <col min="2558" max="2558" width="7.53125" style="1155" customWidth="1"/>
    <col min="2559" max="2559" width="8" style="1155" customWidth="1"/>
    <col min="2560" max="2561" width="8.19921875" style="1155" customWidth="1"/>
    <col min="2562" max="2562" width="6.53125" style="1155" customWidth="1"/>
    <col min="2563" max="2563" width="8" style="1155" customWidth="1"/>
    <col min="2564" max="2564" width="7.53125" style="1155" customWidth="1"/>
    <col min="2565" max="2804" width="9.06640625" style="1155"/>
    <col min="2805" max="2805" width="12.796875" style="1155" customWidth="1"/>
    <col min="2806" max="2806" width="7.796875" style="1155" bestFit="1" customWidth="1"/>
    <col min="2807" max="2807" width="5.19921875" style="1155" customWidth="1"/>
    <col min="2808" max="2808" width="4.46484375" style="1155" customWidth="1"/>
    <col min="2809" max="2809" width="11.46484375" style="1155" customWidth="1"/>
    <col min="2810" max="2810" width="9.796875" style="1155" customWidth="1"/>
    <col min="2811" max="2811" width="8.796875" style="1155" bestFit="1" customWidth="1"/>
    <col min="2812" max="2812" width="11.19921875" style="1155" customWidth="1"/>
    <col min="2813" max="2813" width="16.53125" style="1155" customWidth="1"/>
    <col min="2814" max="2814" width="7.53125" style="1155" customWidth="1"/>
    <col min="2815" max="2815" width="8" style="1155" customWidth="1"/>
    <col min="2816" max="2817" width="8.19921875" style="1155" customWidth="1"/>
    <col min="2818" max="2818" width="6.53125" style="1155" customWidth="1"/>
    <col min="2819" max="2819" width="8" style="1155" customWidth="1"/>
    <col min="2820" max="2820" width="7.53125" style="1155" customWidth="1"/>
    <col min="2821" max="3060" width="9.06640625" style="1155"/>
    <col min="3061" max="3061" width="12.796875" style="1155" customWidth="1"/>
    <col min="3062" max="3062" width="7.796875" style="1155" bestFit="1" customWidth="1"/>
    <col min="3063" max="3063" width="5.19921875" style="1155" customWidth="1"/>
    <col min="3064" max="3064" width="4.46484375" style="1155" customWidth="1"/>
    <col min="3065" max="3065" width="11.46484375" style="1155" customWidth="1"/>
    <col min="3066" max="3066" width="9.796875" style="1155" customWidth="1"/>
    <col min="3067" max="3067" width="8.796875" style="1155" bestFit="1" customWidth="1"/>
    <col min="3068" max="3068" width="11.19921875" style="1155" customWidth="1"/>
    <col min="3069" max="3069" width="16.53125" style="1155" customWidth="1"/>
    <col min="3070" max="3070" width="7.53125" style="1155" customWidth="1"/>
    <col min="3071" max="3071" width="8" style="1155" customWidth="1"/>
    <col min="3072" max="3073" width="8.19921875" style="1155" customWidth="1"/>
    <col min="3074" max="3074" width="6.53125" style="1155" customWidth="1"/>
    <col min="3075" max="3075" width="8" style="1155" customWidth="1"/>
    <col min="3076" max="3076" width="7.53125" style="1155" customWidth="1"/>
    <col min="3077" max="3316" width="9.06640625" style="1155"/>
    <col min="3317" max="3317" width="12.796875" style="1155" customWidth="1"/>
    <col min="3318" max="3318" width="7.796875" style="1155" bestFit="1" customWidth="1"/>
    <col min="3319" max="3319" width="5.19921875" style="1155" customWidth="1"/>
    <col min="3320" max="3320" width="4.46484375" style="1155" customWidth="1"/>
    <col min="3321" max="3321" width="11.46484375" style="1155" customWidth="1"/>
    <col min="3322" max="3322" width="9.796875" style="1155" customWidth="1"/>
    <col min="3323" max="3323" width="8.796875" style="1155" bestFit="1" customWidth="1"/>
    <col min="3324" max="3324" width="11.19921875" style="1155" customWidth="1"/>
    <col min="3325" max="3325" width="16.53125" style="1155" customWidth="1"/>
    <col min="3326" max="3326" width="7.53125" style="1155" customWidth="1"/>
    <col min="3327" max="3327" width="8" style="1155" customWidth="1"/>
    <col min="3328" max="3329" width="8.19921875" style="1155" customWidth="1"/>
    <col min="3330" max="3330" width="6.53125" style="1155" customWidth="1"/>
    <col min="3331" max="3331" width="8" style="1155" customWidth="1"/>
    <col min="3332" max="3332" width="7.53125" style="1155" customWidth="1"/>
    <col min="3333" max="3572" width="9.06640625" style="1155"/>
    <col min="3573" max="3573" width="12.796875" style="1155" customWidth="1"/>
    <col min="3574" max="3574" width="7.796875" style="1155" bestFit="1" customWidth="1"/>
    <col min="3575" max="3575" width="5.19921875" style="1155" customWidth="1"/>
    <col min="3576" max="3576" width="4.46484375" style="1155" customWidth="1"/>
    <col min="3577" max="3577" width="11.46484375" style="1155" customWidth="1"/>
    <col min="3578" max="3578" width="9.796875" style="1155" customWidth="1"/>
    <col min="3579" max="3579" width="8.796875" style="1155" bestFit="1" customWidth="1"/>
    <col min="3580" max="3580" width="11.19921875" style="1155" customWidth="1"/>
    <col min="3581" max="3581" width="16.53125" style="1155" customWidth="1"/>
    <col min="3582" max="3582" width="7.53125" style="1155" customWidth="1"/>
    <col min="3583" max="3583" width="8" style="1155" customWidth="1"/>
    <col min="3584" max="3585" width="8.19921875" style="1155" customWidth="1"/>
    <col min="3586" max="3586" width="6.53125" style="1155" customWidth="1"/>
    <col min="3587" max="3587" width="8" style="1155" customWidth="1"/>
    <col min="3588" max="3588" width="7.53125" style="1155" customWidth="1"/>
    <col min="3589" max="3828" width="9.06640625" style="1155"/>
    <col min="3829" max="3829" width="12.796875" style="1155" customWidth="1"/>
    <col min="3830" max="3830" width="7.796875" style="1155" bestFit="1" customWidth="1"/>
    <col min="3831" max="3831" width="5.19921875" style="1155" customWidth="1"/>
    <col min="3832" max="3832" width="4.46484375" style="1155" customWidth="1"/>
    <col min="3833" max="3833" width="11.46484375" style="1155" customWidth="1"/>
    <col min="3834" max="3834" width="9.796875" style="1155" customWidth="1"/>
    <col min="3835" max="3835" width="8.796875" style="1155" bestFit="1" customWidth="1"/>
    <col min="3836" max="3836" width="11.19921875" style="1155" customWidth="1"/>
    <col min="3837" max="3837" width="16.53125" style="1155" customWidth="1"/>
    <col min="3838" max="3838" width="7.53125" style="1155" customWidth="1"/>
    <col min="3839" max="3839" width="8" style="1155" customWidth="1"/>
    <col min="3840" max="3841" width="8.19921875" style="1155" customWidth="1"/>
    <col min="3842" max="3842" width="6.53125" style="1155" customWidth="1"/>
    <col min="3843" max="3843" width="8" style="1155" customWidth="1"/>
    <col min="3844" max="3844" width="7.53125" style="1155" customWidth="1"/>
    <col min="3845" max="4084" width="9.06640625" style="1155"/>
    <col min="4085" max="4085" width="12.796875" style="1155" customWidth="1"/>
    <col min="4086" max="4086" width="7.796875" style="1155" bestFit="1" customWidth="1"/>
    <col min="4087" max="4087" width="5.19921875" style="1155" customWidth="1"/>
    <col min="4088" max="4088" width="4.46484375" style="1155" customWidth="1"/>
    <col min="4089" max="4089" width="11.46484375" style="1155" customWidth="1"/>
    <col min="4090" max="4090" width="9.796875" style="1155" customWidth="1"/>
    <col min="4091" max="4091" width="8.796875" style="1155" bestFit="1" customWidth="1"/>
    <col min="4092" max="4092" width="11.19921875" style="1155" customWidth="1"/>
    <col min="4093" max="4093" width="16.53125" style="1155" customWidth="1"/>
    <col min="4094" max="4094" width="7.53125" style="1155" customWidth="1"/>
    <col min="4095" max="4095" width="8" style="1155" customWidth="1"/>
    <col min="4096" max="4097" width="8.19921875" style="1155" customWidth="1"/>
    <col min="4098" max="4098" width="6.53125" style="1155" customWidth="1"/>
    <col min="4099" max="4099" width="8" style="1155" customWidth="1"/>
    <col min="4100" max="4100" width="7.53125" style="1155" customWidth="1"/>
    <col min="4101" max="4340" width="9.06640625" style="1155"/>
    <col min="4341" max="4341" width="12.796875" style="1155" customWidth="1"/>
    <col min="4342" max="4342" width="7.796875" style="1155" bestFit="1" customWidth="1"/>
    <col min="4343" max="4343" width="5.19921875" style="1155" customWidth="1"/>
    <col min="4344" max="4344" width="4.46484375" style="1155" customWidth="1"/>
    <col min="4345" max="4345" width="11.46484375" style="1155" customWidth="1"/>
    <col min="4346" max="4346" width="9.796875" style="1155" customWidth="1"/>
    <col min="4347" max="4347" width="8.796875" style="1155" bestFit="1" customWidth="1"/>
    <col min="4348" max="4348" width="11.19921875" style="1155" customWidth="1"/>
    <col min="4349" max="4349" width="16.53125" style="1155" customWidth="1"/>
    <col min="4350" max="4350" width="7.53125" style="1155" customWidth="1"/>
    <col min="4351" max="4351" width="8" style="1155" customWidth="1"/>
    <col min="4352" max="4353" width="8.19921875" style="1155" customWidth="1"/>
    <col min="4354" max="4354" width="6.53125" style="1155" customWidth="1"/>
    <col min="4355" max="4355" width="8" style="1155" customWidth="1"/>
    <col min="4356" max="4356" width="7.53125" style="1155" customWidth="1"/>
    <col min="4357" max="4596" width="9.06640625" style="1155"/>
    <col min="4597" max="4597" width="12.796875" style="1155" customWidth="1"/>
    <col min="4598" max="4598" width="7.796875" style="1155" bestFit="1" customWidth="1"/>
    <col min="4599" max="4599" width="5.19921875" style="1155" customWidth="1"/>
    <col min="4600" max="4600" width="4.46484375" style="1155" customWidth="1"/>
    <col min="4601" max="4601" width="11.46484375" style="1155" customWidth="1"/>
    <col min="4602" max="4602" width="9.796875" style="1155" customWidth="1"/>
    <col min="4603" max="4603" width="8.796875" style="1155" bestFit="1" customWidth="1"/>
    <col min="4604" max="4604" width="11.19921875" style="1155" customWidth="1"/>
    <col min="4605" max="4605" width="16.53125" style="1155" customWidth="1"/>
    <col min="4606" max="4606" width="7.53125" style="1155" customWidth="1"/>
    <col min="4607" max="4607" width="8" style="1155" customWidth="1"/>
    <col min="4608" max="4609" width="8.19921875" style="1155" customWidth="1"/>
    <col min="4610" max="4610" width="6.53125" style="1155" customWidth="1"/>
    <col min="4611" max="4611" width="8" style="1155" customWidth="1"/>
    <col min="4612" max="4612" width="7.53125" style="1155" customWidth="1"/>
    <col min="4613" max="4852" width="9.06640625" style="1155"/>
    <col min="4853" max="4853" width="12.796875" style="1155" customWidth="1"/>
    <col min="4854" max="4854" width="7.796875" style="1155" bestFit="1" customWidth="1"/>
    <col min="4855" max="4855" width="5.19921875" style="1155" customWidth="1"/>
    <col min="4856" max="4856" width="4.46484375" style="1155" customWidth="1"/>
    <col min="4857" max="4857" width="11.46484375" style="1155" customWidth="1"/>
    <col min="4858" max="4858" width="9.796875" style="1155" customWidth="1"/>
    <col min="4859" max="4859" width="8.796875" style="1155" bestFit="1" customWidth="1"/>
    <col min="4860" max="4860" width="11.19921875" style="1155" customWidth="1"/>
    <col min="4861" max="4861" width="16.53125" style="1155" customWidth="1"/>
    <col min="4862" max="4862" width="7.53125" style="1155" customWidth="1"/>
    <col min="4863" max="4863" width="8" style="1155" customWidth="1"/>
    <col min="4864" max="4865" width="8.19921875" style="1155" customWidth="1"/>
    <col min="4866" max="4866" width="6.53125" style="1155" customWidth="1"/>
    <col min="4867" max="4867" width="8" style="1155" customWidth="1"/>
    <col min="4868" max="4868" width="7.53125" style="1155" customWidth="1"/>
    <col min="4869" max="5108" width="9.06640625" style="1155"/>
    <col min="5109" max="5109" width="12.796875" style="1155" customWidth="1"/>
    <col min="5110" max="5110" width="7.796875" style="1155" bestFit="1" customWidth="1"/>
    <col min="5111" max="5111" width="5.19921875" style="1155" customWidth="1"/>
    <col min="5112" max="5112" width="4.46484375" style="1155" customWidth="1"/>
    <col min="5113" max="5113" width="11.46484375" style="1155" customWidth="1"/>
    <col min="5114" max="5114" width="9.796875" style="1155" customWidth="1"/>
    <col min="5115" max="5115" width="8.796875" style="1155" bestFit="1" customWidth="1"/>
    <col min="5116" max="5116" width="11.19921875" style="1155" customWidth="1"/>
    <col min="5117" max="5117" width="16.53125" style="1155" customWidth="1"/>
    <col min="5118" max="5118" width="7.53125" style="1155" customWidth="1"/>
    <col min="5119" max="5119" width="8" style="1155" customWidth="1"/>
    <col min="5120" max="5121" width="8.19921875" style="1155" customWidth="1"/>
    <col min="5122" max="5122" width="6.53125" style="1155" customWidth="1"/>
    <col min="5123" max="5123" width="8" style="1155" customWidth="1"/>
    <col min="5124" max="5124" width="7.53125" style="1155" customWidth="1"/>
    <col min="5125" max="5364" width="9.06640625" style="1155"/>
    <col min="5365" max="5365" width="12.796875" style="1155" customWidth="1"/>
    <col min="5366" max="5366" width="7.796875" style="1155" bestFit="1" customWidth="1"/>
    <col min="5367" max="5367" width="5.19921875" style="1155" customWidth="1"/>
    <col min="5368" max="5368" width="4.46484375" style="1155" customWidth="1"/>
    <col min="5369" max="5369" width="11.46484375" style="1155" customWidth="1"/>
    <col min="5370" max="5370" width="9.796875" style="1155" customWidth="1"/>
    <col min="5371" max="5371" width="8.796875" style="1155" bestFit="1" customWidth="1"/>
    <col min="5372" max="5372" width="11.19921875" style="1155" customWidth="1"/>
    <col min="5373" max="5373" width="16.53125" style="1155" customWidth="1"/>
    <col min="5374" max="5374" width="7.53125" style="1155" customWidth="1"/>
    <col min="5375" max="5375" width="8" style="1155" customWidth="1"/>
    <col min="5376" max="5377" width="8.19921875" style="1155" customWidth="1"/>
    <col min="5378" max="5378" width="6.53125" style="1155" customWidth="1"/>
    <col min="5379" max="5379" width="8" style="1155" customWidth="1"/>
    <col min="5380" max="5380" width="7.53125" style="1155" customWidth="1"/>
    <col min="5381" max="5620" width="9.06640625" style="1155"/>
    <col min="5621" max="5621" width="12.796875" style="1155" customWidth="1"/>
    <col min="5622" max="5622" width="7.796875" style="1155" bestFit="1" customWidth="1"/>
    <col min="5623" max="5623" width="5.19921875" style="1155" customWidth="1"/>
    <col min="5624" max="5624" width="4.46484375" style="1155" customWidth="1"/>
    <col min="5625" max="5625" width="11.46484375" style="1155" customWidth="1"/>
    <col min="5626" max="5626" width="9.796875" style="1155" customWidth="1"/>
    <col min="5627" max="5627" width="8.796875" style="1155" bestFit="1" customWidth="1"/>
    <col min="5628" max="5628" width="11.19921875" style="1155" customWidth="1"/>
    <col min="5629" max="5629" width="16.53125" style="1155" customWidth="1"/>
    <col min="5630" max="5630" width="7.53125" style="1155" customWidth="1"/>
    <col min="5631" max="5631" width="8" style="1155" customWidth="1"/>
    <col min="5632" max="5633" width="8.19921875" style="1155" customWidth="1"/>
    <col min="5634" max="5634" width="6.53125" style="1155" customWidth="1"/>
    <col min="5635" max="5635" width="8" style="1155" customWidth="1"/>
    <col min="5636" max="5636" width="7.53125" style="1155" customWidth="1"/>
    <col min="5637" max="5876" width="9.06640625" style="1155"/>
    <col min="5877" max="5877" width="12.796875" style="1155" customWidth="1"/>
    <col min="5878" max="5878" width="7.796875" style="1155" bestFit="1" customWidth="1"/>
    <col min="5879" max="5879" width="5.19921875" style="1155" customWidth="1"/>
    <col min="5880" max="5880" width="4.46484375" style="1155" customWidth="1"/>
    <col min="5881" max="5881" width="11.46484375" style="1155" customWidth="1"/>
    <col min="5882" max="5882" width="9.796875" style="1155" customWidth="1"/>
    <col min="5883" max="5883" width="8.796875" style="1155" bestFit="1" customWidth="1"/>
    <col min="5884" max="5884" width="11.19921875" style="1155" customWidth="1"/>
    <col min="5885" max="5885" width="16.53125" style="1155" customWidth="1"/>
    <col min="5886" max="5886" width="7.53125" style="1155" customWidth="1"/>
    <col min="5887" max="5887" width="8" style="1155" customWidth="1"/>
    <col min="5888" max="5889" width="8.19921875" style="1155" customWidth="1"/>
    <col min="5890" max="5890" width="6.53125" style="1155" customWidth="1"/>
    <col min="5891" max="5891" width="8" style="1155" customWidth="1"/>
    <col min="5892" max="5892" width="7.53125" style="1155" customWidth="1"/>
    <col min="5893" max="6132" width="9.06640625" style="1155"/>
    <col min="6133" max="6133" width="12.796875" style="1155" customWidth="1"/>
    <col min="6134" max="6134" width="7.796875" style="1155" bestFit="1" customWidth="1"/>
    <col min="6135" max="6135" width="5.19921875" style="1155" customWidth="1"/>
    <col min="6136" max="6136" width="4.46484375" style="1155" customWidth="1"/>
    <col min="6137" max="6137" width="11.46484375" style="1155" customWidth="1"/>
    <col min="6138" max="6138" width="9.796875" style="1155" customWidth="1"/>
    <col min="6139" max="6139" width="8.796875" style="1155" bestFit="1" customWidth="1"/>
    <col min="6140" max="6140" width="11.19921875" style="1155" customWidth="1"/>
    <col min="6141" max="6141" width="16.53125" style="1155" customWidth="1"/>
    <col min="6142" max="6142" width="7.53125" style="1155" customWidth="1"/>
    <col min="6143" max="6143" width="8" style="1155" customWidth="1"/>
    <col min="6144" max="6145" width="8.19921875" style="1155" customWidth="1"/>
    <col min="6146" max="6146" width="6.53125" style="1155" customWidth="1"/>
    <col min="6147" max="6147" width="8" style="1155" customWidth="1"/>
    <col min="6148" max="6148" width="7.53125" style="1155" customWidth="1"/>
    <col min="6149" max="6388" width="9.06640625" style="1155"/>
    <col min="6389" max="6389" width="12.796875" style="1155" customWidth="1"/>
    <col min="6390" max="6390" width="7.796875" style="1155" bestFit="1" customWidth="1"/>
    <col min="6391" max="6391" width="5.19921875" style="1155" customWidth="1"/>
    <col min="6392" max="6392" width="4.46484375" style="1155" customWidth="1"/>
    <col min="6393" max="6393" width="11.46484375" style="1155" customWidth="1"/>
    <col min="6394" max="6394" width="9.796875" style="1155" customWidth="1"/>
    <col min="6395" max="6395" width="8.796875" style="1155" bestFit="1" customWidth="1"/>
    <col min="6396" max="6396" width="11.19921875" style="1155" customWidth="1"/>
    <col min="6397" max="6397" width="16.53125" style="1155" customWidth="1"/>
    <col min="6398" max="6398" width="7.53125" style="1155" customWidth="1"/>
    <col min="6399" max="6399" width="8" style="1155" customWidth="1"/>
    <col min="6400" max="6401" width="8.19921875" style="1155" customWidth="1"/>
    <col min="6402" max="6402" width="6.53125" style="1155" customWidth="1"/>
    <col min="6403" max="6403" width="8" style="1155" customWidth="1"/>
    <col min="6404" max="6404" width="7.53125" style="1155" customWidth="1"/>
    <col min="6405" max="6644" width="9.06640625" style="1155"/>
    <col min="6645" max="6645" width="12.796875" style="1155" customWidth="1"/>
    <col min="6646" max="6646" width="7.796875" style="1155" bestFit="1" customWidth="1"/>
    <col min="6647" max="6647" width="5.19921875" style="1155" customWidth="1"/>
    <col min="6648" max="6648" width="4.46484375" style="1155" customWidth="1"/>
    <col min="6649" max="6649" width="11.46484375" style="1155" customWidth="1"/>
    <col min="6650" max="6650" width="9.796875" style="1155" customWidth="1"/>
    <col min="6651" max="6651" width="8.796875" style="1155" bestFit="1" customWidth="1"/>
    <col min="6652" max="6652" width="11.19921875" style="1155" customWidth="1"/>
    <col min="6653" max="6653" width="16.53125" style="1155" customWidth="1"/>
    <col min="6654" max="6654" width="7.53125" style="1155" customWidth="1"/>
    <col min="6655" max="6655" width="8" style="1155" customWidth="1"/>
    <col min="6656" max="6657" width="8.19921875" style="1155" customWidth="1"/>
    <col min="6658" max="6658" width="6.53125" style="1155" customWidth="1"/>
    <col min="6659" max="6659" width="8" style="1155" customWidth="1"/>
    <col min="6660" max="6660" width="7.53125" style="1155" customWidth="1"/>
    <col min="6661" max="6900" width="9.06640625" style="1155"/>
    <col min="6901" max="6901" width="12.796875" style="1155" customWidth="1"/>
    <col min="6902" max="6902" width="7.796875" style="1155" bestFit="1" customWidth="1"/>
    <col min="6903" max="6903" width="5.19921875" style="1155" customWidth="1"/>
    <col min="6904" max="6904" width="4.46484375" style="1155" customWidth="1"/>
    <col min="6905" max="6905" width="11.46484375" style="1155" customWidth="1"/>
    <col min="6906" max="6906" width="9.796875" style="1155" customWidth="1"/>
    <col min="6907" max="6907" width="8.796875" style="1155" bestFit="1" customWidth="1"/>
    <col min="6908" max="6908" width="11.19921875" style="1155" customWidth="1"/>
    <col min="6909" max="6909" width="16.53125" style="1155" customWidth="1"/>
    <col min="6910" max="6910" width="7.53125" style="1155" customWidth="1"/>
    <col min="6911" max="6911" width="8" style="1155" customWidth="1"/>
    <col min="6912" max="6913" width="8.19921875" style="1155" customWidth="1"/>
    <col min="6914" max="6914" width="6.53125" style="1155" customWidth="1"/>
    <col min="6915" max="6915" width="8" style="1155" customWidth="1"/>
    <col min="6916" max="6916" width="7.53125" style="1155" customWidth="1"/>
    <col min="6917" max="7156" width="9.06640625" style="1155"/>
    <col min="7157" max="7157" width="12.796875" style="1155" customWidth="1"/>
    <col min="7158" max="7158" width="7.796875" style="1155" bestFit="1" customWidth="1"/>
    <col min="7159" max="7159" width="5.19921875" style="1155" customWidth="1"/>
    <col min="7160" max="7160" width="4.46484375" style="1155" customWidth="1"/>
    <col min="7161" max="7161" width="11.46484375" style="1155" customWidth="1"/>
    <col min="7162" max="7162" width="9.796875" style="1155" customWidth="1"/>
    <col min="7163" max="7163" width="8.796875" style="1155" bestFit="1" customWidth="1"/>
    <col min="7164" max="7164" width="11.19921875" style="1155" customWidth="1"/>
    <col min="7165" max="7165" width="16.53125" style="1155" customWidth="1"/>
    <col min="7166" max="7166" width="7.53125" style="1155" customWidth="1"/>
    <col min="7167" max="7167" width="8" style="1155" customWidth="1"/>
    <col min="7168" max="7169" width="8.19921875" style="1155" customWidth="1"/>
    <col min="7170" max="7170" width="6.53125" style="1155" customWidth="1"/>
    <col min="7171" max="7171" width="8" style="1155" customWidth="1"/>
    <col min="7172" max="7172" width="7.53125" style="1155" customWidth="1"/>
    <col min="7173" max="7412" width="9.06640625" style="1155"/>
    <col min="7413" max="7413" width="12.796875" style="1155" customWidth="1"/>
    <col min="7414" max="7414" width="7.796875" style="1155" bestFit="1" customWidth="1"/>
    <col min="7415" max="7415" width="5.19921875" style="1155" customWidth="1"/>
    <col min="7416" max="7416" width="4.46484375" style="1155" customWidth="1"/>
    <col min="7417" max="7417" width="11.46484375" style="1155" customWidth="1"/>
    <col min="7418" max="7418" width="9.796875" style="1155" customWidth="1"/>
    <col min="7419" max="7419" width="8.796875" style="1155" bestFit="1" customWidth="1"/>
    <col min="7420" max="7420" width="11.19921875" style="1155" customWidth="1"/>
    <col min="7421" max="7421" width="16.53125" style="1155" customWidth="1"/>
    <col min="7422" max="7422" width="7.53125" style="1155" customWidth="1"/>
    <col min="7423" max="7423" width="8" style="1155" customWidth="1"/>
    <col min="7424" max="7425" width="8.19921875" style="1155" customWidth="1"/>
    <col min="7426" max="7426" width="6.53125" style="1155" customWidth="1"/>
    <col min="7427" max="7427" width="8" style="1155" customWidth="1"/>
    <col min="7428" max="7428" width="7.53125" style="1155" customWidth="1"/>
    <col min="7429" max="7668" width="9.06640625" style="1155"/>
    <col min="7669" max="7669" width="12.796875" style="1155" customWidth="1"/>
    <col min="7670" max="7670" width="7.796875" style="1155" bestFit="1" customWidth="1"/>
    <col min="7671" max="7671" width="5.19921875" style="1155" customWidth="1"/>
    <col min="7672" max="7672" width="4.46484375" style="1155" customWidth="1"/>
    <col min="7673" max="7673" width="11.46484375" style="1155" customWidth="1"/>
    <col min="7674" max="7674" width="9.796875" style="1155" customWidth="1"/>
    <col min="7675" max="7675" width="8.796875" style="1155" bestFit="1" customWidth="1"/>
    <col min="7676" max="7676" width="11.19921875" style="1155" customWidth="1"/>
    <col min="7677" max="7677" width="16.53125" style="1155" customWidth="1"/>
    <col min="7678" max="7678" width="7.53125" style="1155" customWidth="1"/>
    <col min="7679" max="7679" width="8" style="1155" customWidth="1"/>
    <col min="7680" max="7681" width="8.19921875" style="1155" customWidth="1"/>
    <col min="7682" max="7682" width="6.53125" style="1155" customWidth="1"/>
    <col min="7683" max="7683" width="8" style="1155" customWidth="1"/>
    <col min="7684" max="7684" width="7.53125" style="1155" customWidth="1"/>
    <col min="7685" max="7924" width="9.06640625" style="1155"/>
    <col min="7925" max="7925" width="12.796875" style="1155" customWidth="1"/>
    <col min="7926" max="7926" width="7.796875" style="1155" bestFit="1" customWidth="1"/>
    <col min="7927" max="7927" width="5.19921875" style="1155" customWidth="1"/>
    <col min="7928" max="7928" width="4.46484375" style="1155" customWidth="1"/>
    <col min="7929" max="7929" width="11.46484375" style="1155" customWidth="1"/>
    <col min="7930" max="7930" width="9.796875" style="1155" customWidth="1"/>
    <col min="7931" max="7931" width="8.796875" style="1155" bestFit="1" customWidth="1"/>
    <col min="7932" max="7932" width="11.19921875" style="1155" customWidth="1"/>
    <col min="7933" max="7933" width="16.53125" style="1155" customWidth="1"/>
    <col min="7934" max="7934" width="7.53125" style="1155" customWidth="1"/>
    <col min="7935" max="7935" width="8" style="1155" customWidth="1"/>
    <col min="7936" max="7937" width="8.19921875" style="1155" customWidth="1"/>
    <col min="7938" max="7938" width="6.53125" style="1155" customWidth="1"/>
    <col min="7939" max="7939" width="8" style="1155" customWidth="1"/>
    <col min="7940" max="7940" width="7.53125" style="1155" customWidth="1"/>
    <col min="7941" max="8180" width="9.06640625" style="1155"/>
    <col min="8181" max="8181" width="12.796875" style="1155" customWidth="1"/>
    <col min="8182" max="8182" width="7.796875" style="1155" bestFit="1" customWidth="1"/>
    <col min="8183" max="8183" width="5.19921875" style="1155" customWidth="1"/>
    <col min="8184" max="8184" width="4.46484375" style="1155" customWidth="1"/>
    <col min="8185" max="8185" width="11.46484375" style="1155" customWidth="1"/>
    <col min="8186" max="8186" width="9.796875" style="1155" customWidth="1"/>
    <col min="8187" max="8187" width="8.796875" style="1155" bestFit="1" customWidth="1"/>
    <col min="8188" max="8188" width="11.19921875" style="1155" customWidth="1"/>
    <col min="8189" max="8189" width="16.53125" style="1155" customWidth="1"/>
    <col min="8190" max="8190" width="7.53125" style="1155" customWidth="1"/>
    <col min="8191" max="8191" width="8" style="1155" customWidth="1"/>
    <col min="8192" max="8193" width="8.19921875" style="1155" customWidth="1"/>
    <col min="8194" max="8194" width="6.53125" style="1155" customWidth="1"/>
    <col min="8195" max="8195" width="8" style="1155" customWidth="1"/>
    <col min="8196" max="8196" width="7.53125" style="1155" customWidth="1"/>
    <col min="8197" max="8436" width="9.06640625" style="1155"/>
    <col min="8437" max="8437" width="12.796875" style="1155" customWidth="1"/>
    <col min="8438" max="8438" width="7.796875" style="1155" bestFit="1" customWidth="1"/>
    <col min="8439" max="8439" width="5.19921875" style="1155" customWidth="1"/>
    <col min="8440" max="8440" width="4.46484375" style="1155" customWidth="1"/>
    <col min="8441" max="8441" width="11.46484375" style="1155" customWidth="1"/>
    <col min="8442" max="8442" width="9.796875" style="1155" customWidth="1"/>
    <col min="8443" max="8443" width="8.796875" style="1155" bestFit="1" customWidth="1"/>
    <col min="8444" max="8444" width="11.19921875" style="1155" customWidth="1"/>
    <col min="8445" max="8445" width="16.53125" style="1155" customWidth="1"/>
    <col min="8446" max="8446" width="7.53125" style="1155" customWidth="1"/>
    <col min="8447" max="8447" width="8" style="1155" customWidth="1"/>
    <col min="8448" max="8449" width="8.19921875" style="1155" customWidth="1"/>
    <col min="8450" max="8450" width="6.53125" style="1155" customWidth="1"/>
    <col min="8451" max="8451" width="8" style="1155" customWidth="1"/>
    <col min="8452" max="8452" width="7.53125" style="1155" customWidth="1"/>
    <col min="8453" max="8692" width="9.06640625" style="1155"/>
    <col min="8693" max="8693" width="12.796875" style="1155" customWidth="1"/>
    <col min="8694" max="8694" width="7.796875" style="1155" bestFit="1" customWidth="1"/>
    <col min="8695" max="8695" width="5.19921875" style="1155" customWidth="1"/>
    <col min="8696" max="8696" width="4.46484375" style="1155" customWidth="1"/>
    <col min="8697" max="8697" width="11.46484375" style="1155" customWidth="1"/>
    <col min="8698" max="8698" width="9.796875" style="1155" customWidth="1"/>
    <col min="8699" max="8699" width="8.796875" style="1155" bestFit="1" customWidth="1"/>
    <col min="8700" max="8700" width="11.19921875" style="1155" customWidth="1"/>
    <col min="8701" max="8701" width="16.53125" style="1155" customWidth="1"/>
    <col min="8702" max="8702" width="7.53125" style="1155" customWidth="1"/>
    <col min="8703" max="8703" width="8" style="1155" customWidth="1"/>
    <col min="8704" max="8705" width="8.19921875" style="1155" customWidth="1"/>
    <col min="8706" max="8706" width="6.53125" style="1155" customWidth="1"/>
    <col min="8707" max="8707" width="8" style="1155" customWidth="1"/>
    <col min="8708" max="8708" width="7.53125" style="1155" customWidth="1"/>
    <col min="8709" max="8948" width="9.06640625" style="1155"/>
    <col min="8949" max="8949" width="12.796875" style="1155" customWidth="1"/>
    <col min="8950" max="8950" width="7.796875" style="1155" bestFit="1" customWidth="1"/>
    <col min="8951" max="8951" width="5.19921875" style="1155" customWidth="1"/>
    <col min="8952" max="8952" width="4.46484375" style="1155" customWidth="1"/>
    <col min="8953" max="8953" width="11.46484375" style="1155" customWidth="1"/>
    <col min="8954" max="8954" width="9.796875" style="1155" customWidth="1"/>
    <col min="8955" max="8955" width="8.796875" style="1155" bestFit="1" customWidth="1"/>
    <col min="8956" max="8956" width="11.19921875" style="1155" customWidth="1"/>
    <col min="8957" max="8957" width="16.53125" style="1155" customWidth="1"/>
    <col min="8958" max="8958" width="7.53125" style="1155" customWidth="1"/>
    <col min="8959" max="8959" width="8" style="1155" customWidth="1"/>
    <col min="8960" max="8961" width="8.19921875" style="1155" customWidth="1"/>
    <col min="8962" max="8962" width="6.53125" style="1155" customWidth="1"/>
    <col min="8963" max="8963" width="8" style="1155" customWidth="1"/>
    <col min="8964" max="8964" width="7.53125" style="1155" customWidth="1"/>
    <col min="8965" max="9204" width="9.06640625" style="1155"/>
    <col min="9205" max="9205" width="12.796875" style="1155" customWidth="1"/>
    <col min="9206" max="9206" width="7.796875" style="1155" bestFit="1" customWidth="1"/>
    <col min="9207" max="9207" width="5.19921875" style="1155" customWidth="1"/>
    <col min="9208" max="9208" width="4.46484375" style="1155" customWidth="1"/>
    <col min="9209" max="9209" width="11.46484375" style="1155" customWidth="1"/>
    <col min="9210" max="9210" width="9.796875" style="1155" customWidth="1"/>
    <col min="9211" max="9211" width="8.796875" style="1155" bestFit="1" customWidth="1"/>
    <col min="9212" max="9212" width="11.19921875" style="1155" customWidth="1"/>
    <col min="9213" max="9213" width="16.53125" style="1155" customWidth="1"/>
    <col min="9214" max="9214" width="7.53125" style="1155" customWidth="1"/>
    <col min="9215" max="9215" width="8" style="1155" customWidth="1"/>
    <col min="9216" max="9217" width="8.19921875" style="1155" customWidth="1"/>
    <col min="9218" max="9218" width="6.53125" style="1155" customWidth="1"/>
    <col min="9219" max="9219" width="8" style="1155" customWidth="1"/>
    <col min="9220" max="9220" width="7.53125" style="1155" customWidth="1"/>
    <col min="9221" max="9460" width="9.06640625" style="1155"/>
    <col min="9461" max="9461" width="12.796875" style="1155" customWidth="1"/>
    <col min="9462" max="9462" width="7.796875" style="1155" bestFit="1" customWidth="1"/>
    <col min="9463" max="9463" width="5.19921875" style="1155" customWidth="1"/>
    <col min="9464" max="9464" width="4.46484375" style="1155" customWidth="1"/>
    <col min="9465" max="9465" width="11.46484375" style="1155" customWidth="1"/>
    <col min="9466" max="9466" width="9.796875" style="1155" customWidth="1"/>
    <col min="9467" max="9467" width="8.796875" style="1155" bestFit="1" customWidth="1"/>
    <col min="9468" max="9468" width="11.19921875" style="1155" customWidth="1"/>
    <col min="9469" max="9469" width="16.53125" style="1155" customWidth="1"/>
    <col min="9470" max="9470" width="7.53125" style="1155" customWidth="1"/>
    <col min="9471" max="9471" width="8" style="1155" customWidth="1"/>
    <col min="9472" max="9473" width="8.19921875" style="1155" customWidth="1"/>
    <col min="9474" max="9474" width="6.53125" style="1155" customWidth="1"/>
    <col min="9475" max="9475" width="8" style="1155" customWidth="1"/>
    <col min="9476" max="9476" width="7.53125" style="1155" customWidth="1"/>
    <col min="9477" max="9716" width="9.06640625" style="1155"/>
    <col min="9717" max="9717" width="12.796875" style="1155" customWidth="1"/>
    <col min="9718" max="9718" width="7.796875" style="1155" bestFit="1" customWidth="1"/>
    <col min="9719" max="9719" width="5.19921875" style="1155" customWidth="1"/>
    <col min="9720" max="9720" width="4.46484375" style="1155" customWidth="1"/>
    <col min="9721" max="9721" width="11.46484375" style="1155" customWidth="1"/>
    <col min="9722" max="9722" width="9.796875" style="1155" customWidth="1"/>
    <col min="9723" max="9723" width="8.796875" style="1155" bestFit="1" customWidth="1"/>
    <col min="9724" max="9724" width="11.19921875" style="1155" customWidth="1"/>
    <col min="9725" max="9725" width="16.53125" style="1155" customWidth="1"/>
    <col min="9726" max="9726" width="7.53125" style="1155" customWidth="1"/>
    <col min="9727" max="9727" width="8" style="1155" customWidth="1"/>
    <col min="9728" max="9729" width="8.19921875" style="1155" customWidth="1"/>
    <col min="9730" max="9730" width="6.53125" style="1155" customWidth="1"/>
    <col min="9731" max="9731" width="8" style="1155" customWidth="1"/>
    <col min="9732" max="9732" width="7.53125" style="1155" customWidth="1"/>
    <col min="9733" max="9972" width="9.06640625" style="1155"/>
    <col min="9973" max="9973" width="12.796875" style="1155" customWidth="1"/>
    <col min="9974" max="9974" width="7.796875" style="1155" bestFit="1" customWidth="1"/>
    <col min="9975" max="9975" width="5.19921875" style="1155" customWidth="1"/>
    <col min="9976" max="9976" width="4.46484375" style="1155" customWidth="1"/>
    <col min="9977" max="9977" width="11.46484375" style="1155" customWidth="1"/>
    <col min="9978" max="9978" width="9.796875" style="1155" customWidth="1"/>
    <col min="9979" max="9979" width="8.796875" style="1155" bestFit="1" customWidth="1"/>
    <col min="9980" max="9980" width="11.19921875" style="1155" customWidth="1"/>
    <col min="9981" max="9981" width="16.53125" style="1155" customWidth="1"/>
    <col min="9982" max="9982" width="7.53125" style="1155" customWidth="1"/>
    <col min="9983" max="9983" width="8" style="1155" customWidth="1"/>
    <col min="9984" max="9985" width="8.19921875" style="1155" customWidth="1"/>
    <col min="9986" max="9986" width="6.53125" style="1155" customWidth="1"/>
    <col min="9987" max="9987" width="8" style="1155" customWidth="1"/>
    <col min="9988" max="9988" width="7.53125" style="1155" customWidth="1"/>
    <col min="9989" max="10228" width="9.06640625" style="1155"/>
    <col min="10229" max="10229" width="12.796875" style="1155" customWidth="1"/>
    <col min="10230" max="10230" width="7.796875" style="1155" bestFit="1" customWidth="1"/>
    <col min="10231" max="10231" width="5.19921875" style="1155" customWidth="1"/>
    <col min="10232" max="10232" width="4.46484375" style="1155" customWidth="1"/>
    <col min="10233" max="10233" width="11.46484375" style="1155" customWidth="1"/>
    <col min="10234" max="10234" width="9.796875" style="1155" customWidth="1"/>
    <col min="10235" max="10235" width="8.796875" style="1155" bestFit="1" customWidth="1"/>
    <col min="10236" max="10236" width="11.19921875" style="1155" customWidth="1"/>
    <col min="10237" max="10237" width="16.53125" style="1155" customWidth="1"/>
    <col min="10238" max="10238" width="7.53125" style="1155" customWidth="1"/>
    <col min="10239" max="10239" width="8" style="1155" customWidth="1"/>
    <col min="10240" max="10241" width="8.19921875" style="1155" customWidth="1"/>
    <col min="10242" max="10242" width="6.53125" style="1155" customWidth="1"/>
    <col min="10243" max="10243" width="8" style="1155" customWidth="1"/>
    <col min="10244" max="10244" width="7.53125" style="1155" customWidth="1"/>
    <col min="10245" max="10484" width="9.06640625" style="1155"/>
    <col min="10485" max="10485" width="12.796875" style="1155" customWidth="1"/>
    <col min="10486" max="10486" width="7.796875" style="1155" bestFit="1" customWidth="1"/>
    <col min="10487" max="10487" width="5.19921875" style="1155" customWidth="1"/>
    <col min="10488" max="10488" width="4.46484375" style="1155" customWidth="1"/>
    <col min="10489" max="10489" width="11.46484375" style="1155" customWidth="1"/>
    <col min="10490" max="10490" width="9.796875" style="1155" customWidth="1"/>
    <col min="10491" max="10491" width="8.796875" style="1155" bestFit="1" customWidth="1"/>
    <col min="10492" max="10492" width="11.19921875" style="1155" customWidth="1"/>
    <col min="10493" max="10493" width="16.53125" style="1155" customWidth="1"/>
    <col min="10494" max="10494" width="7.53125" style="1155" customWidth="1"/>
    <col min="10495" max="10495" width="8" style="1155" customWidth="1"/>
    <col min="10496" max="10497" width="8.19921875" style="1155" customWidth="1"/>
    <col min="10498" max="10498" width="6.53125" style="1155" customWidth="1"/>
    <col min="10499" max="10499" width="8" style="1155" customWidth="1"/>
    <col min="10500" max="10500" width="7.53125" style="1155" customWidth="1"/>
    <col min="10501" max="10740" width="9.06640625" style="1155"/>
    <col min="10741" max="10741" width="12.796875" style="1155" customWidth="1"/>
    <col min="10742" max="10742" width="7.796875" style="1155" bestFit="1" customWidth="1"/>
    <col min="10743" max="10743" width="5.19921875" style="1155" customWidth="1"/>
    <col min="10744" max="10744" width="4.46484375" style="1155" customWidth="1"/>
    <col min="10745" max="10745" width="11.46484375" style="1155" customWidth="1"/>
    <col min="10746" max="10746" width="9.796875" style="1155" customWidth="1"/>
    <col min="10747" max="10747" width="8.796875" style="1155" bestFit="1" customWidth="1"/>
    <col min="10748" max="10748" width="11.19921875" style="1155" customWidth="1"/>
    <col min="10749" max="10749" width="16.53125" style="1155" customWidth="1"/>
    <col min="10750" max="10750" width="7.53125" style="1155" customWidth="1"/>
    <col min="10751" max="10751" width="8" style="1155" customWidth="1"/>
    <col min="10752" max="10753" width="8.19921875" style="1155" customWidth="1"/>
    <col min="10754" max="10754" width="6.53125" style="1155" customWidth="1"/>
    <col min="10755" max="10755" width="8" style="1155" customWidth="1"/>
    <col min="10756" max="10756" width="7.53125" style="1155" customWidth="1"/>
    <col min="10757" max="10996" width="9.06640625" style="1155"/>
    <col min="10997" max="10997" width="12.796875" style="1155" customWidth="1"/>
    <col min="10998" max="10998" width="7.796875" style="1155" bestFit="1" customWidth="1"/>
    <col min="10999" max="10999" width="5.19921875" style="1155" customWidth="1"/>
    <col min="11000" max="11000" width="4.46484375" style="1155" customWidth="1"/>
    <col min="11001" max="11001" width="11.46484375" style="1155" customWidth="1"/>
    <col min="11002" max="11002" width="9.796875" style="1155" customWidth="1"/>
    <col min="11003" max="11003" width="8.796875" style="1155" bestFit="1" customWidth="1"/>
    <col min="11004" max="11004" width="11.19921875" style="1155" customWidth="1"/>
    <col min="11005" max="11005" width="16.53125" style="1155" customWidth="1"/>
    <col min="11006" max="11006" width="7.53125" style="1155" customWidth="1"/>
    <col min="11007" max="11007" width="8" style="1155" customWidth="1"/>
    <col min="11008" max="11009" width="8.19921875" style="1155" customWidth="1"/>
    <col min="11010" max="11010" width="6.53125" style="1155" customWidth="1"/>
    <col min="11011" max="11011" width="8" style="1155" customWidth="1"/>
    <col min="11012" max="11012" width="7.53125" style="1155" customWidth="1"/>
    <col min="11013" max="11252" width="9.06640625" style="1155"/>
    <col min="11253" max="11253" width="12.796875" style="1155" customWidth="1"/>
    <col min="11254" max="11254" width="7.796875" style="1155" bestFit="1" customWidth="1"/>
    <col min="11255" max="11255" width="5.19921875" style="1155" customWidth="1"/>
    <col min="11256" max="11256" width="4.46484375" style="1155" customWidth="1"/>
    <col min="11257" max="11257" width="11.46484375" style="1155" customWidth="1"/>
    <col min="11258" max="11258" width="9.796875" style="1155" customWidth="1"/>
    <col min="11259" max="11259" width="8.796875" style="1155" bestFit="1" customWidth="1"/>
    <col min="11260" max="11260" width="11.19921875" style="1155" customWidth="1"/>
    <col min="11261" max="11261" width="16.53125" style="1155" customWidth="1"/>
    <col min="11262" max="11262" width="7.53125" style="1155" customWidth="1"/>
    <col min="11263" max="11263" width="8" style="1155" customWidth="1"/>
    <col min="11264" max="11265" width="8.19921875" style="1155" customWidth="1"/>
    <col min="11266" max="11266" width="6.53125" style="1155" customWidth="1"/>
    <col min="11267" max="11267" width="8" style="1155" customWidth="1"/>
    <col min="11268" max="11268" width="7.53125" style="1155" customWidth="1"/>
    <col min="11269" max="11508" width="9.06640625" style="1155"/>
    <col min="11509" max="11509" width="12.796875" style="1155" customWidth="1"/>
    <col min="11510" max="11510" width="7.796875" style="1155" bestFit="1" customWidth="1"/>
    <col min="11511" max="11511" width="5.19921875" style="1155" customWidth="1"/>
    <col min="11512" max="11512" width="4.46484375" style="1155" customWidth="1"/>
    <col min="11513" max="11513" width="11.46484375" style="1155" customWidth="1"/>
    <col min="11514" max="11514" width="9.796875" style="1155" customWidth="1"/>
    <col min="11515" max="11515" width="8.796875" style="1155" bestFit="1" customWidth="1"/>
    <col min="11516" max="11516" width="11.19921875" style="1155" customWidth="1"/>
    <col min="11517" max="11517" width="16.53125" style="1155" customWidth="1"/>
    <col min="11518" max="11518" width="7.53125" style="1155" customWidth="1"/>
    <col min="11519" max="11519" width="8" style="1155" customWidth="1"/>
    <col min="11520" max="11521" width="8.19921875" style="1155" customWidth="1"/>
    <col min="11522" max="11522" width="6.53125" style="1155" customWidth="1"/>
    <col min="11523" max="11523" width="8" style="1155" customWidth="1"/>
    <col min="11524" max="11524" width="7.53125" style="1155" customWidth="1"/>
    <col min="11525" max="11764" width="9.06640625" style="1155"/>
    <col min="11765" max="11765" width="12.796875" style="1155" customWidth="1"/>
    <col min="11766" max="11766" width="7.796875" style="1155" bestFit="1" customWidth="1"/>
    <col min="11767" max="11767" width="5.19921875" style="1155" customWidth="1"/>
    <col min="11768" max="11768" width="4.46484375" style="1155" customWidth="1"/>
    <col min="11769" max="11769" width="11.46484375" style="1155" customWidth="1"/>
    <col min="11770" max="11770" width="9.796875" style="1155" customWidth="1"/>
    <col min="11771" max="11771" width="8.796875" style="1155" bestFit="1" customWidth="1"/>
    <col min="11772" max="11772" width="11.19921875" style="1155" customWidth="1"/>
    <col min="11773" max="11773" width="16.53125" style="1155" customWidth="1"/>
    <col min="11774" max="11774" width="7.53125" style="1155" customWidth="1"/>
    <col min="11775" max="11775" width="8" style="1155" customWidth="1"/>
    <col min="11776" max="11777" width="8.19921875" style="1155" customWidth="1"/>
    <col min="11778" max="11778" width="6.53125" style="1155" customWidth="1"/>
    <col min="11779" max="11779" width="8" style="1155" customWidth="1"/>
    <col min="11780" max="11780" width="7.53125" style="1155" customWidth="1"/>
    <col min="11781" max="12020" width="9.06640625" style="1155"/>
    <col min="12021" max="12021" width="12.796875" style="1155" customWidth="1"/>
    <col min="12022" max="12022" width="7.796875" style="1155" bestFit="1" customWidth="1"/>
    <col min="12023" max="12023" width="5.19921875" style="1155" customWidth="1"/>
    <col min="12024" max="12024" width="4.46484375" style="1155" customWidth="1"/>
    <col min="12025" max="12025" width="11.46484375" style="1155" customWidth="1"/>
    <col min="12026" max="12026" width="9.796875" style="1155" customWidth="1"/>
    <col min="12027" max="12027" width="8.796875" style="1155" bestFit="1" customWidth="1"/>
    <col min="12028" max="12028" width="11.19921875" style="1155" customWidth="1"/>
    <col min="12029" max="12029" width="16.53125" style="1155" customWidth="1"/>
    <col min="12030" max="12030" width="7.53125" style="1155" customWidth="1"/>
    <col min="12031" max="12031" width="8" style="1155" customWidth="1"/>
    <col min="12032" max="12033" width="8.19921875" style="1155" customWidth="1"/>
    <col min="12034" max="12034" width="6.53125" style="1155" customWidth="1"/>
    <col min="12035" max="12035" width="8" style="1155" customWidth="1"/>
    <col min="12036" max="12036" width="7.53125" style="1155" customWidth="1"/>
    <col min="12037" max="12276" width="9.06640625" style="1155"/>
    <col min="12277" max="12277" width="12.796875" style="1155" customWidth="1"/>
    <col min="12278" max="12278" width="7.796875" style="1155" bestFit="1" customWidth="1"/>
    <col min="12279" max="12279" width="5.19921875" style="1155" customWidth="1"/>
    <col min="12280" max="12280" width="4.46484375" style="1155" customWidth="1"/>
    <col min="12281" max="12281" width="11.46484375" style="1155" customWidth="1"/>
    <col min="12282" max="12282" width="9.796875" style="1155" customWidth="1"/>
    <col min="12283" max="12283" width="8.796875" style="1155" bestFit="1" customWidth="1"/>
    <col min="12284" max="12284" width="11.19921875" style="1155" customWidth="1"/>
    <col min="12285" max="12285" width="16.53125" style="1155" customWidth="1"/>
    <col min="12286" max="12286" width="7.53125" style="1155" customWidth="1"/>
    <col min="12287" max="12287" width="8" style="1155" customWidth="1"/>
    <col min="12288" max="12289" width="8.19921875" style="1155" customWidth="1"/>
    <col min="12290" max="12290" width="6.53125" style="1155" customWidth="1"/>
    <col min="12291" max="12291" width="8" style="1155" customWidth="1"/>
    <col min="12292" max="12292" width="7.53125" style="1155" customWidth="1"/>
    <col min="12293" max="12532" width="9.06640625" style="1155"/>
    <col min="12533" max="12533" width="12.796875" style="1155" customWidth="1"/>
    <col min="12534" max="12534" width="7.796875" style="1155" bestFit="1" customWidth="1"/>
    <col min="12535" max="12535" width="5.19921875" style="1155" customWidth="1"/>
    <col min="12536" max="12536" width="4.46484375" style="1155" customWidth="1"/>
    <col min="12537" max="12537" width="11.46484375" style="1155" customWidth="1"/>
    <col min="12538" max="12538" width="9.796875" style="1155" customWidth="1"/>
    <col min="12539" max="12539" width="8.796875" style="1155" bestFit="1" customWidth="1"/>
    <col min="12540" max="12540" width="11.19921875" style="1155" customWidth="1"/>
    <col min="12541" max="12541" width="16.53125" style="1155" customWidth="1"/>
    <col min="12542" max="12542" width="7.53125" style="1155" customWidth="1"/>
    <col min="12543" max="12543" width="8" style="1155" customWidth="1"/>
    <col min="12544" max="12545" width="8.19921875" style="1155" customWidth="1"/>
    <col min="12546" max="12546" width="6.53125" style="1155" customWidth="1"/>
    <col min="12547" max="12547" width="8" style="1155" customWidth="1"/>
    <col min="12548" max="12548" width="7.53125" style="1155" customWidth="1"/>
    <col min="12549" max="12788" width="9.06640625" style="1155"/>
    <col min="12789" max="12789" width="12.796875" style="1155" customWidth="1"/>
    <col min="12790" max="12790" width="7.796875" style="1155" bestFit="1" customWidth="1"/>
    <col min="12791" max="12791" width="5.19921875" style="1155" customWidth="1"/>
    <col min="12792" max="12792" width="4.46484375" style="1155" customWidth="1"/>
    <col min="12793" max="12793" width="11.46484375" style="1155" customWidth="1"/>
    <col min="12794" max="12794" width="9.796875" style="1155" customWidth="1"/>
    <col min="12795" max="12795" width="8.796875" style="1155" bestFit="1" customWidth="1"/>
    <col min="12796" max="12796" width="11.19921875" style="1155" customWidth="1"/>
    <col min="12797" max="12797" width="16.53125" style="1155" customWidth="1"/>
    <col min="12798" max="12798" width="7.53125" style="1155" customWidth="1"/>
    <col min="12799" max="12799" width="8" style="1155" customWidth="1"/>
    <col min="12800" max="12801" width="8.19921875" style="1155" customWidth="1"/>
    <col min="12802" max="12802" width="6.53125" style="1155" customWidth="1"/>
    <col min="12803" max="12803" width="8" style="1155" customWidth="1"/>
    <col min="12804" max="12804" width="7.53125" style="1155" customWidth="1"/>
    <col min="12805" max="13044" width="9.06640625" style="1155"/>
    <col min="13045" max="13045" width="12.796875" style="1155" customWidth="1"/>
    <col min="13046" max="13046" width="7.796875" style="1155" bestFit="1" customWidth="1"/>
    <col min="13047" max="13047" width="5.19921875" style="1155" customWidth="1"/>
    <col min="13048" max="13048" width="4.46484375" style="1155" customWidth="1"/>
    <col min="13049" max="13049" width="11.46484375" style="1155" customWidth="1"/>
    <col min="13050" max="13050" width="9.796875" style="1155" customWidth="1"/>
    <col min="13051" max="13051" width="8.796875" style="1155" bestFit="1" customWidth="1"/>
    <col min="13052" max="13052" width="11.19921875" style="1155" customWidth="1"/>
    <col min="13053" max="13053" width="16.53125" style="1155" customWidth="1"/>
    <col min="13054" max="13054" width="7.53125" style="1155" customWidth="1"/>
    <col min="13055" max="13055" width="8" style="1155" customWidth="1"/>
    <col min="13056" max="13057" width="8.19921875" style="1155" customWidth="1"/>
    <col min="13058" max="13058" width="6.53125" style="1155" customWidth="1"/>
    <col min="13059" max="13059" width="8" style="1155" customWidth="1"/>
    <col min="13060" max="13060" width="7.53125" style="1155" customWidth="1"/>
    <col min="13061" max="13300" width="9.06640625" style="1155"/>
    <col min="13301" max="13301" width="12.796875" style="1155" customWidth="1"/>
    <col min="13302" max="13302" width="7.796875" style="1155" bestFit="1" customWidth="1"/>
    <col min="13303" max="13303" width="5.19921875" style="1155" customWidth="1"/>
    <col min="13304" max="13304" width="4.46484375" style="1155" customWidth="1"/>
    <col min="13305" max="13305" width="11.46484375" style="1155" customWidth="1"/>
    <col min="13306" max="13306" width="9.796875" style="1155" customWidth="1"/>
    <col min="13307" max="13307" width="8.796875" style="1155" bestFit="1" customWidth="1"/>
    <col min="13308" max="13308" width="11.19921875" style="1155" customWidth="1"/>
    <col min="13309" max="13309" width="16.53125" style="1155" customWidth="1"/>
    <col min="13310" max="13310" width="7.53125" style="1155" customWidth="1"/>
    <col min="13311" max="13311" width="8" style="1155" customWidth="1"/>
    <col min="13312" max="13313" width="8.19921875" style="1155" customWidth="1"/>
    <col min="13314" max="13314" width="6.53125" style="1155" customWidth="1"/>
    <col min="13315" max="13315" width="8" style="1155" customWidth="1"/>
    <col min="13316" max="13316" width="7.53125" style="1155" customWidth="1"/>
    <col min="13317" max="13556" width="9.06640625" style="1155"/>
    <col min="13557" max="13557" width="12.796875" style="1155" customWidth="1"/>
    <col min="13558" max="13558" width="7.796875" style="1155" bestFit="1" customWidth="1"/>
    <col min="13559" max="13559" width="5.19921875" style="1155" customWidth="1"/>
    <col min="13560" max="13560" width="4.46484375" style="1155" customWidth="1"/>
    <col min="13561" max="13561" width="11.46484375" style="1155" customWidth="1"/>
    <col min="13562" max="13562" width="9.796875" style="1155" customWidth="1"/>
    <col min="13563" max="13563" width="8.796875" style="1155" bestFit="1" customWidth="1"/>
    <col min="13564" max="13564" width="11.19921875" style="1155" customWidth="1"/>
    <col min="13565" max="13565" width="16.53125" style="1155" customWidth="1"/>
    <col min="13566" max="13566" width="7.53125" style="1155" customWidth="1"/>
    <col min="13567" max="13567" width="8" style="1155" customWidth="1"/>
    <col min="13568" max="13569" width="8.19921875" style="1155" customWidth="1"/>
    <col min="13570" max="13570" width="6.53125" style="1155" customWidth="1"/>
    <col min="13571" max="13571" width="8" style="1155" customWidth="1"/>
    <col min="13572" max="13572" width="7.53125" style="1155" customWidth="1"/>
    <col min="13573" max="13812" width="9.06640625" style="1155"/>
    <col min="13813" max="13813" width="12.796875" style="1155" customWidth="1"/>
    <col min="13814" max="13814" width="7.796875" style="1155" bestFit="1" customWidth="1"/>
    <col min="13815" max="13815" width="5.19921875" style="1155" customWidth="1"/>
    <col min="13816" max="13816" width="4.46484375" style="1155" customWidth="1"/>
    <col min="13817" max="13817" width="11.46484375" style="1155" customWidth="1"/>
    <col min="13818" max="13818" width="9.796875" style="1155" customWidth="1"/>
    <col min="13819" max="13819" width="8.796875" style="1155" bestFit="1" customWidth="1"/>
    <col min="13820" max="13820" width="11.19921875" style="1155" customWidth="1"/>
    <col min="13821" max="13821" width="16.53125" style="1155" customWidth="1"/>
    <col min="13822" max="13822" width="7.53125" style="1155" customWidth="1"/>
    <col min="13823" max="13823" width="8" style="1155" customWidth="1"/>
    <col min="13824" max="13825" width="8.19921875" style="1155" customWidth="1"/>
    <col min="13826" max="13826" width="6.53125" style="1155" customWidth="1"/>
    <col min="13827" max="13827" width="8" style="1155" customWidth="1"/>
    <col min="13828" max="13828" width="7.53125" style="1155" customWidth="1"/>
    <col min="13829" max="14068" width="9.06640625" style="1155"/>
    <col min="14069" max="14069" width="12.796875" style="1155" customWidth="1"/>
    <col min="14070" max="14070" width="7.796875" style="1155" bestFit="1" customWidth="1"/>
    <col min="14071" max="14071" width="5.19921875" style="1155" customWidth="1"/>
    <col min="14072" max="14072" width="4.46484375" style="1155" customWidth="1"/>
    <col min="14073" max="14073" width="11.46484375" style="1155" customWidth="1"/>
    <col min="14074" max="14074" width="9.796875" style="1155" customWidth="1"/>
    <col min="14075" max="14075" width="8.796875" style="1155" bestFit="1" customWidth="1"/>
    <col min="14076" max="14076" width="11.19921875" style="1155" customWidth="1"/>
    <col min="14077" max="14077" width="16.53125" style="1155" customWidth="1"/>
    <col min="14078" max="14078" width="7.53125" style="1155" customWidth="1"/>
    <col min="14079" max="14079" width="8" style="1155" customWidth="1"/>
    <col min="14080" max="14081" width="8.19921875" style="1155" customWidth="1"/>
    <col min="14082" max="14082" width="6.53125" style="1155" customWidth="1"/>
    <col min="14083" max="14083" width="8" style="1155" customWidth="1"/>
    <col min="14084" max="14084" width="7.53125" style="1155" customWidth="1"/>
    <col min="14085" max="14324" width="9.06640625" style="1155"/>
    <col min="14325" max="14325" width="12.796875" style="1155" customWidth="1"/>
    <col min="14326" max="14326" width="7.796875" style="1155" bestFit="1" customWidth="1"/>
    <col min="14327" max="14327" width="5.19921875" style="1155" customWidth="1"/>
    <col min="14328" max="14328" width="4.46484375" style="1155" customWidth="1"/>
    <col min="14329" max="14329" width="11.46484375" style="1155" customWidth="1"/>
    <col min="14330" max="14330" width="9.796875" style="1155" customWidth="1"/>
    <col min="14331" max="14331" width="8.796875" style="1155" bestFit="1" customWidth="1"/>
    <col min="14332" max="14332" width="11.19921875" style="1155" customWidth="1"/>
    <col min="14333" max="14333" width="16.53125" style="1155" customWidth="1"/>
    <col min="14334" max="14334" width="7.53125" style="1155" customWidth="1"/>
    <col min="14335" max="14335" width="8" style="1155" customWidth="1"/>
    <col min="14336" max="14337" width="8.19921875" style="1155" customWidth="1"/>
    <col min="14338" max="14338" width="6.53125" style="1155" customWidth="1"/>
    <col min="14339" max="14339" width="8" style="1155" customWidth="1"/>
    <col min="14340" max="14340" width="7.53125" style="1155" customWidth="1"/>
    <col min="14341" max="14580" width="9.06640625" style="1155"/>
    <col min="14581" max="14581" width="12.796875" style="1155" customWidth="1"/>
    <col min="14582" max="14582" width="7.796875" style="1155" bestFit="1" customWidth="1"/>
    <col min="14583" max="14583" width="5.19921875" style="1155" customWidth="1"/>
    <col min="14584" max="14584" width="4.46484375" style="1155" customWidth="1"/>
    <col min="14585" max="14585" width="11.46484375" style="1155" customWidth="1"/>
    <col min="14586" max="14586" width="9.796875" style="1155" customWidth="1"/>
    <col min="14587" max="14587" width="8.796875" style="1155" bestFit="1" customWidth="1"/>
    <col min="14588" max="14588" width="11.19921875" style="1155" customWidth="1"/>
    <col min="14589" max="14589" width="16.53125" style="1155" customWidth="1"/>
    <col min="14590" max="14590" width="7.53125" style="1155" customWidth="1"/>
    <col min="14591" max="14591" width="8" style="1155" customWidth="1"/>
    <col min="14592" max="14593" width="8.19921875" style="1155" customWidth="1"/>
    <col min="14594" max="14594" width="6.53125" style="1155" customWidth="1"/>
    <col min="14595" max="14595" width="8" style="1155" customWidth="1"/>
    <col min="14596" max="14596" width="7.53125" style="1155" customWidth="1"/>
    <col min="14597" max="14836" width="9.06640625" style="1155"/>
    <col min="14837" max="14837" width="12.796875" style="1155" customWidth="1"/>
    <col min="14838" max="14838" width="7.796875" style="1155" bestFit="1" customWidth="1"/>
    <col min="14839" max="14839" width="5.19921875" style="1155" customWidth="1"/>
    <col min="14840" max="14840" width="4.46484375" style="1155" customWidth="1"/>
    <col min="14841" max="14841" width="11.46484375" style="1155" customWidth="1"/>
    <col min="14842" max="14842" width="9.796875" style="1155" customWidth="1"/>
    <col min="14843" max="14843" width="8.796875" style="1155" bestFit="1" customWidth="1"/>
    <col min="14844" max="14844" width="11.19921875" style="1155" customWidth="1"/>
    <col min="14845" max="14845" width="16.53125" style="1155" customWidth="1"/>
    <col min="14846" max="14846" width="7.53125" style="1155" customWidth="1"/>
    <col min="14847" max="14847" width="8" style="1155" customWidth="1"/>
    <col min="14848" max="14849" width="8.19921875" style="1155" customWidth="1"/>
    <col min="14850" max="14850" width="6.53125" style="1155" customWidth="1"/>
    <col min="14851" max="14851" width="8" style="1155" customWidth="1"/>
    <col min="14852" max="14852" width="7.53125" style="1155" customWidth="1"/>
    <col min="14853" max="15092" width="9.06640625" style="1155"/>
    <col min="15093" max="15093" width="12.796875" style="1155" customWidth="1"/>
    <col min="15094" max="15094" width="7.796875" style="1155" bestFit="1" customWidth="1"/>
    <col min="15095" max="15095" width="5.19921875" style="1155" customWidth="1"/>
    <col min="15096" max="15096" width="4.46484375" style="1155" customWidth="1"/>
    <col min="15097" max="15097" width="11.46484375" style="1155" customWidth="1"/>
    <col min="15098" max="15098" width="9.796875" style="1155" customWidth="1"/>
    <col min="15099" max="15099" width="8.796875" style="1155" bestFit="1" customWidth="1"/>
    <col min="15100" max="15100" width="11.19921875" style="1155" customWidth="1"/>
    <col min="15101" max="15101" width="16.53125" style="1155" customWidth="1"/>
    <col min="15102" max="15102" width="7.53125" style="1155" customWidth="1"/>
    <col min="15103" max="15103" width="8" style="1155" customWidth="1"/>
    <col min="15104" max="15105" width="8.19921875" style="1155" customWidth="1"/>
    <col min="15106" max="15106" width="6.53125" style="1155" customWidth="1"/>
    <col min="15107" max="15107" width="8" style="1155" customWidth="1"/>
    <col min="15108" max="15108" width="7.53125" style="1155" customWidth="1"/>
    <col min="15109" max="15348" width="9.06640625" style="1155"/>
    <col min="15349" max="15349" width="12.796875" style="1155" customWidth="1"/>
    <col min="15350" max="15350" width="7.796875" style="1155" bestFit="1" customWidth="1"/>
    <col min="15351" max="15351" width="5.19921875" style="1155" customWidth="1"/>
    <col min="15352" max="15352" width="4.46484375" style="1155" customWidth="1"/>
    <col min="15353" max="15353" width="11.46484375" style="1155" customWidth="1"/>
    <col min="15354" max="15354" width="9.796875" style="1155" customWidth="1"/>
    <col min="15355" max="15355" width="8.796875" style="1155" bestFit="1" customWidth="1"/>
    <col min="15356" max="15356" width="11.19921875" style="1155" customWidth="1"/>
    <col min="15357" max="15357" width="16.53125" style="1155" customWidth="1"/>
    <col min="15358" max="15358" width="7.53125" style="1155" customWidth="1"/>
    <col min="15359" max="15359" width="8" style="1155" customWidth="1"/>
    <col min="15360" max="15361" width="8.19921875" style="1155" customWidth="1"/>
    <col min="15362" max="15362" width="6.53125" style="1155" customWidth="1"/>
    <col min="15363" max="15363" width="8" style="1155" customWidth="1"/>
    <col min="15364" max="15364" width="7.53125" style="1155" customWidth="1"/>
    <col min="15365" max="15604" width="9.06640625" style="1155"/>
    <col min="15605" max="15605" width="12.796875" style="1155" customWidth="1"/>
    <col min="15606" max="15606" width="7.796875" style="1155" bestFit="1" customWidth="1"/>
    <col min="15607" max="15607" width="5.19921875" style="1155" customWidth="1"/>
    <col min="15608" max="15608" width="4.46484375" style="1155" customWidth="1"/>
    <col min="15609" max="15609" width="11.46484375" style="1155" customWidth="1"/>
    <col min="15610" max="15610" width="9.796875" style="1155" customWidth="1"/>
    <col min="15611" max="15611" width="8.796875" style="1155" bestFit="1" customWidth="1"/>
    <col min="15612" max="15612" width="11.19921875" style="1155" customWidth="1"/>
    <col min="15613" max="15613" width="16.53125" style="1155" customWidth="1"/>
    <col min="15614" max="15614" width="7.53125" style="1155" customWidth="1"/>
    <col min="15615" max="15615" width="8" style="1155" customWidth="1"/>
    <col min="15616" max="15617" width="8.19921875" style="1155" customWidth="1"/>
    <col min="15618" max="15618" width="6.53125" style="1155" customWidth="1"/>
    <col min="15619" max="15619" width="8" style="1155" customWidth="1"/>
    <col min="15620" max="15620" width="7.53125" style="1155" customWidth="1"/>
    <col min="15621" max="15860" width="9.06640625" style="1155"/>
    <col min="15861" max="15861" width="12.796875" style="1155" customWidth="1"/>
    <col min="15862" max="15862" width="7.796875" style="1155" bestFit="1" customWidth="1"/>
    <col min="15863" max="15863" width="5.19921875" style="1155" customWidth="1"/>
    <col min="15864" max="15864" width="4.46484375" style="1155" customWidth="1"/>
    <col min="15865" max="15865" width="11.46484375" style="1155" customWidth="1"/>
    <col min="15866" max="15866" width="9.796875" style="1155" customWidth="1"/>
    <col min="15867" max="15867" width="8.796875" style="1155" bestFit="1" customWidth="1"/>
    <col min="15868" max="15868" width="11.19921875" style="1155" customWidth="1"/>
    <col min="15869" max="15869" width="16.53125" style="1155" customWidth="1"/>
    <col min="15870" max="15870" width="7.53125" style="1155" customWidth="1"/>
    <col min="15871" max="15871" width="8" style="1155" customWidth="1"/>
    <col min="15872" max="15873" width="8.19921875" style="1155" customWidth="1"/>
    <col min="15874" max="15874" width="6.53125" style="1155" customWidth="1"/>
    <col min="15875" max="15875" width="8" style="1155" customWidth="1"/>
    <col min="15876" max="15876" width="7.53125" style="1155" customWidth="1"/>
    <col min="15877" max="16116" width="9.06640625" style="1155"/>
    <col min="16117" max="16117" width="12.796875" style="1155" customWidth="1"/>
    <col min="16118" max="16118" width="7.796875" style="1155" bestFit="1" customWidth="1"/>
    <col min="16119" max="16119" width="5.19921875" style="1155" customWidth="1"/>
    <col min="16120" max="16120" width="4.46484375" style="1155" customWidth="1"/>
    <col min="16121" max="16121" width="11.46484375" style="1155" customWidth="1"/>
    <col min="16122" max="16122" width="9.796875" style="1155" customWidth="1"/>
    <col min="16123" max="16123" width="8.796875" style="1155" bestFit="1" customWidth="1"/>
    <col min="16124" max="16124" width="11.19921875" style="1155" customWidth="1"/>
    <col min="16125" max="16125" width="16.53125" style="1155" customWidth="1"/>
    <col min="16126" max="16126" width="7.53125" style="1155" customWidth="1"/>
    <col min="16127" max="16127" width="8" style="1155" customWidth="1"/>
    <col min="16128" max="16129" width="8.19921875" style="1155" customWidth="1"/>
    <col min="16130" max="16130" width="6.53125" style="1155" customWidth="1"/>
    <col min="16131" max="16131" width="8" style="1155" customWidth="1"/>
    <col min="16132" max="16132" width="7.53125" style="1155" customWidth="1"/>
    <col min="16133" max="16384" width="9.06640625" style="1155"/>
  </cols>
  <sheetData>
    <row r="1" spans="1:15">
      <c r="A1" s="1839" t="s">
        <v>1806</v>
      </c>
      <c r="B1" s="1839"/>
      <c r="C1" s="1839"/>
      <c r="H1" s="1155"/>
      <c r="J1" s="1155"/>
      <c r="K1" s="1155"/>
    </row>
    <row r="2" spans="1:15">
      <c r="A2" s="1845" t="str">
        <f>+'BS1'!A2</f>
        <v>NIDP DEVELOPERS PRIVATE LIMITED</v>
      </c>
      <c r="B2" s="1845"/>
      <c r="C2" s="1845"/>
      <c r="D2" s="1845"/>
      <c r="E2" s="1845"/>
      <c r="F2" s="1845"/>
      <c r="G2" s="1845"/>
      <c r="H2" s="1845"/>
      <c r="I2" s="1845"/>
      <c r="J2" s="1845"/>
      <c r="K2" s="1845"/>
      <c r="L2" s="1845"/>
      <c r="M2" s="1156"/>
      <c r="N2" s="1156"/>
      <c r="O2" s="1156"/>
    </row>
    <row r="3" spans="1:15">
      <c r="A3" s="1157" t="s">
        <v>1795</v>
      </c>
      <c r="B3" s="1157"/>
      <c r="C3" s="1157"/>
      <c r="D3" s="1157"/>
      <c r="E3" s="1157"/>
      <c r="F3" s="1157"/>
      <c r="G3" s="1157"/>
      <c r="H3" s="1157"/>
      <c r="I3" s="1157"/>
      <c r="J3" s="1157"/>
      <c r="K3" s="1157"/>
      <c r="L3" s="1157"/>
      <c r="M3" s="1158"/>
      <c r="N3" s="1158"/>
      <c r="O3" s="1158"/>
    </row>
    <row r="4" spans="1:15">
      <c r="E4" s="1159"/>
      <c r="F4" s="1159"/>
      <c r="G4" s="1159"/>
    </row>
    <row r="5" spans="1:15" ht="30">
      <c r="B5" s="1162" t="s">
        <v>1564</v>
      </c>
      <c r="C5" s="1162" t="s">
        <v>592</v>
      </c>
      <c r="D5" s="1843" t="s">
        <v>312</v>
      </c>
      <c r="E5" s="1844"/>
      <c r="F5" s="1843" t="s">
        <v>1393</v>
      </c>
      <c r="G5" s="1844"/>
      <c r="H5" s="1162" t="s">
        <v>593</v>
      </c>
      <c r="I5" s="1162" t="s">
        <v>593</v>
      </c>
      <c r="J5" s="1162" t="s">
        <v>595</v>
      </c>
      <c r="K5" s="1162" t="s">
        <v>2141</v>
      </c>
      <c r="L5" s="1162" t="s">
        <v>594</v>
      </c>
    </row>
    <row r="6" spans="1:15" ht="30">
      <c r="B6" s="1163"/>
      <c r="C6" s="1164" t="s">
        <v>614</v>
      </c>
      <c r="D6" s="1164" t="s">
        <v>1565</v>
      </c>
      <c r="E6" s="1164" t="s">
        <v>1566</v>
      </c>
      <c r="F6" s="1164" t="s">
        <v>1451</v>
      </c>
      <c r="G6" s="1164" t="s">
        <v>1452</v>
      </c>
      <c r="H6" s="1164" t="s">
        <v>197</v>
      </c>
      <c r="I6" s="1164" t="s">
        <v>198</v>
      </c>
      <c r="J6" s="1164" t="s">
        <v>596</v>
      </c>
      <c r="K6" s="1164" t="s">
        <v>548</v>
      </c>
      <c r="L6" s="1164" t="s">
        <v>548</v>
      </c>
    </row>
    <row r="7" spans="1:15">
      <c r="B7" s="1163"/>
      <c r="C7" s="1840" t="s">
        <v>343</v>
      </c>
      <c r="D7" s="1841"/>
      <c r="E7" s="1841"/>
      <c r="F7" s="1841"/>
      <c r="G7" s="1841"/>
      <c r="H7" s="1841"/>
      <c r="I7" s="1841"/>
      <c r="J7" s="1841"/>
      <c r="K7" s="1841"/>
      <c r="L7" s="1842"/>
    </row>
    <row r="8" spans="1:15">
      <c r="B8" s="1165">
        <v>1</v>
      </c>
      <c r="C8" s="1166" t="s">
        <v>2079</v>
      </c>
      <c r="D8" s="1167">
        <v>45383</v>
      </c>
      <c r="E8" s="1167">
        <v>45443</v>
      </c>
      <c r="F8" s="1168">
        <v>0</v>
      </c>
      <c r="G8" s="1169" t="s">
        <v>2081</v>
      </c>
      <c r="H8" s="1170">
        <v>4</v>
      </c>
      <c r="I8" s="1171">
        <f>+'F3_PP_Monthly 24-25'!N95+'F3_PP_Monthly 24-25'!X95</f>
        <v>4.5354475000000001</v>
      </c>
      <c r="J8" s="1172">
        <v>6.56</v>
      </c>
      <c r="K8" s="1173">
        <f>+'F3_PP_Monthly 24-25'!T95+'F3_PP_Monthly 24-25'!AD95</f>
        <v>2.2379099600000008E-2</v>
      </c>
      <c r="L8" s="1174">
        <f>I8*J8/10+K8</f>
        <v>2.9976326595999998</v>
      </c>
    </row>
    <row r="9" spans="1:15">
      <c r="B9" s="1165">
        <v>2</v>
      </c>
      <c r="C9" s="1166" t="s">
        <v>2079</v>
      </c>
      <c r="D9" s="1167">
        <v>45444</v>
      </c>
      <c r="E9" s="1167">
        <v>45504</v>
      </c>
      <c r="F9" s="1168">
        <v>0</v>
      </c>
      <c r="G9" s="1169" t="s">
        <v>2081</v>
      </c>
      <c r="H9" s="1170">
        <v>5</v>
      </c>
      <c r="I9" s="1171">
        <f>+'F3_PP_Monthly 24-25'!AH95+'F3_PP_Monthly 24-25'!AR95</f>
        <v>6.1883774999999996</v>
      </c>
      <c r="J9" s="1172">
        <v>6.56</v>
      </c>
      <c r="K9" s="1173">
        <f>+'F3_PP_Monthly 24-25'!AN95+'F3_PP_Monthly 24-25'!AX95</f>
        <v>-8.1191451999999997E-2</v>
      </c>
      <c r="L9" s="1174">
        <f t="shared" ref="L9:L15" si="0">I9*J9/10+K9</f>
        <v>3.9783841879999993</v>
      </c>
    </row>
    <row r="10" spans="1:15">
      <c r="B10" s="1165">
        <v>3</v>
      </c>
      <c r="C10" s="1166" t="s">
        <v>2079</v>
      </c>
      <c r="D10" s="1167">
        <v>45505</v>
      </c>
      <c r="E10" s="1167">
        <v>45596</v>
      </c>
      <c r="F10" s="1168">
        <v>0</v>
      </c>
      <c r="G10" s="1169" t="s">
        <v>2081</v>
      </c>
      <c r="H10" s="1170">
        <v>6</v>
      </c>
      <c r="I10" s="1171">
        <f>+'F3_PP_Monthly 24-25'!BB95+'F3_PP_Monthly 24-25'!BL95+'F3_PP_Monthly 24-25'!BV95</f>
        <v>10.097894999999999</v>
      </c>
      <c r="J10" s="1172">
        <v>6.56</v>
      </c>
      <c r="K10" s="1173">
        <f>+'F3_PP_Monthly 24-25'!BH95+'F3_PP_Monthly 24-25'!BR95+'F3_PP_Monthly 24-25'!CB95</f>
        <v>-2.2600000000004561E-5</v>
      </c>
      <c r="L10" s="1174">
        <f t="shared" si="0"/>
        <v>6.624196519999999</v>
      </c>
    </row>
    <row r="11" spans="1:15">
      <c r="B11" s="1165">
        <v>4</v>
      </c>
      <c r="C11" s="1166" t="str">
        <f>+F5_PP_Renew!A11</f>
        <v>DCM Shriram Ltd (DCMSL)</v>
      </c>
      <c r="D11" s="1167">
        <v>45627</v>
      </c>
      <c r="E11" s="1167">
        <v>45397</v>
      </c>
      <c r="F11" s="1168">
        <v>0</v>
      </c>
      <c r="G11" s="1169" t="s">
        <v>2081</v>
      </c>
      <c r="H11" s="1170">
        <v>5</v>
      </c>
      <c r="I11" s="1171">
        <f>+'F3_PP_Monthly 24-25'!EE96</f>
        <v>14.428750000000001</v>
      </c>
      <c r="J11" s="1172">
        <v>5.45</v>
      </c>
      <c r="K11" s="1173">
        <f>+'F3_PP_Monthly 24-25'!EK96</f>
        <v>-4.1938799999999998E-2</v>
      </c>
      <c r="L11" s="1174">
        <f t="shared" si="0"/>
        <v>7.8217299500000008</v>
      </c>
    </row>
    <row r="12" spans="1:15">
      <c r="B12" s="1163"/>
      <c r="C12" s="1840" t="s">
        <v>1442</v>
      </c>
      <c r="D12" s="1841"/>
      <c r="E12" s="1841"/>
      <c r="F12" s="1841"/>
      <c r="G12" s="1841"/>
      <c r="H12" s="1841"/>
      <c r="I12" s="1841"/>
      <c r="J12" s="1841"/>
      <c r="K12" s="1841"/>
      <c r="L12" s="1842"/>
    </row>
    <row r="13" spans="1:15">
      <c r="B13" s="1165">
        <v>1</v>
      </c>
      <c r="C13" s="1166" t="str">
        <f>+C11</f>
        <v>DCM Shriram Ltd (DCMSL)</v>
      </c>
      <c r="D13" s="1167">
        <v>45627</v>
      </c>
      <c r="E13" s="1167">
        <v>45762</v>
      </c>
      <c r="F13" s="1168">
        <v>0</v>
      </c>
      <c r="G13" s="1169" t="s">
        <v>2081</v>
      </c>
      <c r="H13" s="1170">
        <v>5</v>
      </c>
      <c r="I13" s="1171">
        <f>+F5_PP_Renew!J11</f>
        <v>1.516648</v>
      </c>
      <c r="J13" s="1175">
        <v>5.45</v>
      </c>
      <c r="K13" s="1176">
        <f>+[3]Data!P115+[3]Data!$P$123-[3]Data!$P$107</f>
        <v>-0.56893269999999996</v>
      </c>
      <c r="L13" s="1174">
        <f t="shared" si="0"/>
        <v>0.25764046000000007</v>
      </c>
    </row>
    <row r="14" spans="1:15" ht="30">
      <c r="B14" s="1165">
        <v>2</v>
      </c>
      <c r="C14" s="1188" t="str">
        <f>+F5_PP_Renew!A12</f>
        <v>Kreate Energy (I) Pvt. Ltd (KEIPL)</v>
      </c>
      <c r="D14" s="1167">
        <v>45778</v>
      </c>
      <c r="E14" s="1167">
        <v>45869</v>
      </c>
      <c r="F14" s="1168">
        <v>0</v>
      </c>
      <c r="G14" s="1169" t="s">
        <v>2081</v>
      </c>
      <c r="H14" s="1170">
        <v>5</v>
      </c>
      <c r="I14" s="1171">
        <f>+F5_PP_Renew!J12</f>
        <v>11.040000000000001</v>
      </c>
      <c r="J14" s="1175">
        <v>5.95</v>
      </c>
      <c r="K14" s="1176">
        <f>+'[3]Summary '!$E$126-'[3]Summary '!$E$110</f>
        <v>-4.5214000000000011E-2</v>
      </c>
      <c r="L14" s="1174">
        <f t="shared" si="0"/>
        <v>6.5235860000000008</v>
      </c>
    </row>
    <row r="15" spans="1:15">
      <c r="B15" s="1165">
        <v>3</v>
      </c>
      <c r="C15" s="1166" t="str">
        <f>+C13</f>
        <v>DCM Shriram Ltd (DCMSL)</v>
      </c>
      <c r="D15" s="1167">
        <v>45962</v>
      </c>
      <c r="E15" s="1167">
        <v>46112</v>
      </c>
      <c r="F15" s="1168">
        <v>0</v>
      </c>
      <c r="G15" s="1169" t="s">
        <v>2081</v>
      </c>
      <c r="H15" s="1170">
        <v>6</v>
      </c>
      <c r="I15" s="1171">
        <f>+F5_PP_Renew!J13</f>
        <v>18.482399999999998</v>
      </c>
      <c r="J15" s="1175">
        <v>5.12</v>
      </c>
      <c r="K15" s="1176">
        <f>-SUM([3]Data!$W$107:$AA$107)</f>
        <v>-9.4629887999999995E-2</v>
      </c>
      <c r="L15" s="1174">
        <f t="shared" si="0"/>
        <v>9.3683589119999997</v>
      </c>
    </row>
    <row r="16" spans="1:15">
      <c r="B16" s="1165">
        <v>4</v>
      </c>
      <c r="C16" s="1166"/>
      <c r="D16" s="1167"/>
      <c r="E16" s="1167"/>
      <c r="F16" s="1168"/>
      <c r="G16" s="1169"/>
      <c r="H16" s="1170"/>
      <c r="I16" s="1171"/>
      <c r="J16" s="1172"/>
      <c r="K16" s="1172"/>
      <c r="L16" s="1174">
        <f t="shared" ref="L16" si="1">I16*J16/10</f>
        <v>0</v>
      </c>
    </row>
    <row r="17" spans="2:12">
      <c r="B17" s="1163"/>
      <c r="C17" s="1840" t="s">
        <v>2024</v>
      </c>
      <c r="D17" s="1841"/>
      <c r="E17" s="1841"/>
      <c r="F17" s="1841"/>
      <c r="G17" s="1841"/>
      <c r="H17" s="1841"/>
      <c r="I17" s="1841"/>
      <c r="J17" s="1841"/>
      <c r="K17" s="1841"/>
      <c r="L17" s="1842"/>
    </row>
    <row r="18" spans="2:12">
      <c r="B18" s="1165">
        <v>1</v>
      </c>
      <c r="C18" s="1166" t="s">
        <v>329</v>
      </c>
      <c r="D18" s="1167">
        <v>46113</v>
      </c>
      <c r="E18" s="1167">
        <v>46203</v>
      </c>
      <c r="F18" s="1168">
        <v>0</v>
      </c>
      <c r="G18" s="1169" t="s">
        <v>2081</v>
      </c>
      <c r="H18" s="1170">
        <v>11</v>
      </c>
      <c r="I18" s="1171">
        <f>+'F3.2_PP_Monthly 26-27'!N96+'F3.2_PP_Monthly 26-27'!X96+'F3.2_PP_Monthly 26-27'!AH96</f>
        <v>20.420400000000001</v>
      </c>
      <c r="J18" s="1170">
        <v>5.95</v>
      </c>
      <c r="K18" s="1176">
        <f>-I18*J18/10*1%</f>
        <v>-0.12150138000000002</v>
      </c>
      <c r="L18" s="1174">
        <f t="shared" ref="L18:L22" si="2">I18*J18/10+K18</f>
        <v>12.028636620000002</v>
      </c>
    </row>
    <row r="19" spans="2:12">
      <c r="B19" s="1165">
        <v>2</v>
      </c>
      <c r="C19" s="1166" t="s">
        <v>329</v>
      </c>
      <c r="D19" s="1167">
        <f>+E18+1</f>
        <v>46204</v>
      </c>
      <c r="E19" s="1167">
        <v>46234</v>
      </c>
      <c r="F19" s="1168">
        <v>0</v>
      </c>
      <c r="G19" s="1169" t="s">
        <v>2081</v>
      </c>
      <c r="H19" s="1170">
        <v>12</v>
      </c>
      <c r="I19" s="1171">
        <f>+'F3.2_PP_Monthly 26-27'!AR96</f>
        <v>7.5888</v>
      </c>
      <c r="J19" s="1170">
        <v>5.95</v>
      </c>
      <c r="K19" s="1176">
        <f t="shared" ref="K19:K22" si="3">-I19*J19/10*1%</f>
        <v>-4.5153359999999997E-2</v>
      </c>
      <c r="L19" s="1174">
        <f t="shared" si="2"/>
        <v>4.47018264</v>
      </c>
    </row>
    <row r="20" spans="2:12">
      <c r="B20" s="1165">
        <v>3</v>
      </c>
      <c r="C20" s="1166" t="s">
        <v>329</v>
      </c>
      <c r="D20" s="1167">
        <f>+E19+1</f>
        <v>46235</v>
      </c>
      <c r="E20" s="1167">
        <v>46295</v>
      </c>
      <c r="F20" s="1168">
        <v>0</v>
      </c>
      <c r="G20" s="1169" t="s">
        <v>2081</v>
      </c>
      <c r="H20" s="1170">
        <v>12</v>
      </c>
      <c r="I20" s="1171">
        <f>+'F3.2_PP_Monthly 26-27'!BB96+'F3.2_PP_Monthly 26-27'!BL96</f>
        <v>14.9328</v>
      </c>
      <c r="J20" s="1170">
        <v>5.25</v>
      </c>
      <c r="K20" s="1176">
        <f t="shared" si="3"/>
        <v>-7.83972E-2</v>
      </c>
      <c r="L20" s="1174">
        <f t="shared" si="2"/>
        <v>7.7613227999999994</v>
      </c>
    </row>
    <row r="21" spans="2:12">
      <c r="B21" s="1165">
        <v>4</v>
      </c>
      <c r="C21" s="1166" t="s">
        <v>329</v>
      </c>
      <c r="D21" s="1167">
        <f>+E20+1</f>
        <v>46296</v>
      </c>
      <c r="E21" s="1167">
        <v>46387</v>
      </c>
      <c r="F21" s="1168">
        <v>0</v>
      </c>
      <c r="G21" s="1169" t="s">
        <v>2081</v>
      </c>
      <c r="H21" s="1170">
        <v>13</v>
      </c>
      <c r="I21" s="1171">
        <f>+'F3.2_PP_Monthly 26-27'!BV96+'F3.2_PP_Monthly 26-27'!CF96+'F3.2_PP_Monthly 26-27'!CP96</f>
        <v>24.398399999999999</v>
      </c>
      <c r="J21" s="1170">
        <v>5.25</v>
      </c>
      <c r="K21" s="1176">
        <f t="shared" si="3"/>
        <v>-0.1280916</v>
      </c>
      <c r="L21" s="1174">
        <f t="shared" si="2"/>
        <v>12.681068400000001</v>
      </c>
    </row>
    <row r="22" spans="2:12">
      <c r="B22" s="1165">
        <v>5</v>
      </c>
      <c r="C22" s="1166" t="s">
        <v>329</v>
      </c>
      <c r="D22" s="1167">
        <f t="shared" ref="D22" si="4">+E21+1</f>
        <v>46388</v>
      </c>
      <c r="E22" s="1167">
        <v>46477</v>
      </c>
      <c r="F22" s="1168">
        <v>0</v>
      </c>
      <c r="G22" s="1169" t="s">
        <v>2081</v>
      </c>
      <c r="H22" s="1170">
        <v>15</v>
      </c>
      <c r="I22" s="1171">
        <f>+'F3.2_PP_Monthly 26-27'!CZ96+'F3.2_PP_Monthly 26-27'!DJ96+'F3.2_PP_Monthly 26-27'!DT96</f>
        <v>27.540000000000003</v>
      </c>
      <c r="J22" s="1170">
        <v>5.25</v>
      </c>
      <c r="K22" s="1176">
        <f t="shared" si="3"/>
        <v>-0.14458500000000002</v>
      </c>
      <c r="L22" s="1174">
        <f t="shared" si="2"/>
        <v>14.313915000000001</v>
      </c>
    </row>
    <row r="23" spans="2:12">
      <c r="B23" s="1161"/>
      <c r="C23" s="1177"/>
      <c r="D23" s="1178"/>
      <c r="E23" s="1178"/>
      <c r="F23" s="1179"/>
      <c r="G23" s="1180"/>
      <c r="H23" s="1181"/>
      <c r="I23" s="1182"/>
      <c r="J23" s="1183"/>
      <c r="K23" s="1183"/>
      <c r="L23" s="1184"/>
    </row>
    <row r="24" spans="2:12">
      <c r="B24" s="1161"/>
      <c r="C24" s="1185"/>
      <c r="D24" s="1185"/>
      <c r="E24" s="1186"/>
      <c r="I24" s="1185"/>
      <c r="J24" s="1183"/>
      <c r="K24" s="1183"/>
    </row>
    <row r="25" spans="2:12" ht="7.5" customHeight="1"/>
    <row r="26" spans="2:12">
      <c r="B26" s="1187" t="s">
        <v>1567</v>
      </c>
    </row>
  </sheetData>
  <mergeCells count="7">
    <mergeCell ref="A1:C1"/>
    <mergeCell ref="C7:L7"/>
    <mergeCell ref="C12:L12"/>
    <mergeCell ref="C17:L17"/>
    <mergeCell ref="D5:E5"/>
    <mergeCell ref="F5:G5"/>
    <mergeCell ref="A2:L2"/>
  </mergeCells>
  <printOptions horizontalCentered="1"/>
  <pageMargins left="0.70866141732283472" right="0.70866141732283472" top="0.74803149606299213" bottom="0.74803149606299213" header="0.31496062992125984" footer="0.31496062992125984"/>
  <pageSetup paperSize="5" scale="93" fitToHeight="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FFFF"/>
  </sheetPr>
  <dimension ref="A1:AB27"/>
  <sheetViews>
    <sheetView view="pageBreakPreview" zoomScale="95" zoomScaleNormal="85" zoomScaleSheetLayoutView="95" workbookViewId="0">
      <selection activeCell="AD11" sqref="AD11"/>
    </sheetView>
  </sheetViews>
  <sheetFormatPr defaultRowHeight="14.25"/>
  <cols>
    <col min="1" max="1" width="11.796875" style="30" bestFit="1" customWidth="1"/>
    <col min="2" max="2" width="7.19921875" style="3" customWidth="1"/>
    <col min="3" max="3" width="7.46484375" style="3" customWidth="1"/>
    <col min="4" max="4" width="7.53125" style="3" customWidth="1"/>
    <col min="5" max="5" width="7.19921875" style="3" customWidth="1"/>
    <col min="6" max="6" width="6.796875" style="3" customWidth="1"/>
    <col min="7" max="7" width="6" style="3" bestFit="1" customWidth="1"/>
    <col min="8" max="8" width="6.796875" style="3" customWidth="1"/>
    <col min="9" max="9" width="8.53125" style="3" bestFit="1" customWidth="1"/>
    <col min="10" max="10" width="6.86328125" style="3" bestFit="1" customWidth="1"/>
    <col min="11" max="16" width="8.46484375" style="3" customWidth="1"/>
    <col min="17" max="28" width="8.46484375" style="3" hidden="1" customWidth="1"/>
    <col min="29" max="259" width="9.19921875" style="3"/>
    <col min="260" max="260" width="13" style="3" customWidth="1"/>
    <col min="261" max="261" width="6.796875" style="3" customWidth="1"/>
    <col min="262" max="262" width="7" style="3" customWidth="1"/>
    <col min="263" max="263" width="6.46484375" style="3" customWidth="1"/>
    <col min="264" max="264" width="8.19921875" style="3" customWidth="1"/>
    <col min="265" max="265" width="6.53125" style="3" customWidth="1"/>
    <col min="266" max="266" width="7.46484375" style="3" customWidth="1"/>
    <col min="267" max="267" width="7.19921875" style="3" customWidth="1"/>
    <col min="268" max="268" width="8" style="3" customWidth="1"/>
    <col min="269" max="269" width="6.19921875" style="3" customWidth="1"/>
    <col min="270" max="270" width="7.46484375" style="3" customWidth="1"/>
    <col min="271" max="271" width="6.796875" style="3" customWidth="1"/>
    <col min="272" max="272" width="8.19921875" style="3" customWidth="1"/>
    <col min="273" max="515" width="9.19921875" style="3"/>
    <col min="516" max="516" width="13" style="3" customWidth="1"/>
    <col min="517" max="517" width="6.796875" style="3" customWidth="1"/>
    <col min="518" max="518" width="7" style="3" customWidth="1"/>
    <col min="519" max="519" width="6.46484375" style="3" customWidth="1"/>
    <col min="520" max="520" width="8.19921875" style="3" customWidth="1"/>
    <col min="521" max="521" width="6.53125" style="3" customWidth="1"/>
    <col min="522" max="522" width="7.46484375" style="3" customWidth="1"/>
    <col min="523" max="523" width="7.19921875" style="3" customWidth="1"/>
    <col min="524" max="524" width="8" style="3" customWidth="1"/>
    <col min="525" max="525" width="6.19921875" style="3" customWidth="1"/>
    <col min="526" max="526" width="7.46484375" style="3" customWidth="1"/>
    <col min="527" max="527" width="6.796875" style="3" customWidth="1"/>
    <col min="528" max="528" width="8.19921875" style="3" customWidth="1"/>
    <col min="529" max="771" width="9.19921875" style="3"/>
    <col min="772" max="772" width="13" style="3" customWidth="1"/>
    <col min="773" max="773" width="6.796875" style="3" customWidth="1"/>
    <col min="774" max="774" width="7" style="3" customWidth="1"/>
    <col min="775" max="775" width="6.46484375" style="3" customWidth="1"/>
    <col min="776" max="776" width="8.19921875" style="3" customWidth="1"/>
    <col min="777" max="777" width="6.53125" style="3" customWidth="1"/>
    <col min="778" max="778" width="7.46484375" style="3" customWidth="1"/>
    <col min="779" max="779" width="7.19921875" style="3" customWidth="1"/>
    <col min="780" max="780" width="8" style="3" customWidth="1"/>
    <col min="781" max="781" width="6.19921875" style="3" customWidth="1"/>
    <col min="782" max="782" width="7.46484375" style="3" customWidth="1"/>
    <col min="783" max="783" width="6.796875" style="3" customWidth="1"/>
    <col min="784" max="784" width="8.19921875" style="3" customWidth="1"/>
    <col min="785" max="1027" width="9.19921875" style="3"/>
    <col min="1028" max="1028" width="13" style="3" customWidth="1"/>
    <col min="1029" max="1029" width="6.796875" style="3" customWidth="1"/>
    <col min="1030" max="1030" width="7" style="3" customWidth="1"/>
    <col min="1031" max="1031" width="6.46484375" style="3" customWidth="1"/>
    <col min="1032" max="1032" width="8.19921875" style="3" customWidth="1"/>
    <col min="1033" max="1033" width="6.53125" style="3" customWidth="1"/>
    <col min="1034" max="1034" width="7.46484375" style="3" customWidth="1"/>
    <col min="1035" max="1035" width="7.19921875" style="3" customWidth="1"/>
    <col min="1036" max="1036" width="8" style="3" customWidth="1"/>
    <col min="1037" max="1037" width="6.19921875" style="3" customWidth="1"/>
    <col min="1038" max="1038" width="7.46484375" style="3" customWidth="1"/>
    <col min="1039" max="1039" width="6.796875" style="3" customWidth="1"/>
    <col min="1040" max="1040" width="8.19921875" style="3" customWidth="1"/>
    <col min="1041" max="1283" width="9.19921875" style="3"/>
    <col min="1284" max="1284" width="13" style="3" customWidth="1"/>
    <col min="1285" max="1285" width="6.796875" style="3" customWidth="1"/>
    <col min="1286" max="1286" width="7" style="3" customWidth="1"/>
    <col min="1287" max="1287" width="6.46484375" style="3" customWidth="1"/>
    <col min="1288" max="1288" width="8.19921875" style="3" customWidth="1"/>
    <col min="1289" max="1289" width="6.53125" style="3" customWidth="1"/>
    <col min="1290" max="1290" width="7.46484375" style="3" customWidth="1"/>
    <col min="1291" max="1291" width="7.19921875" style="3" customWidth="1"/>
    <col min="1292" max="1292" width="8" style="3" customWidth="1"/>
    <col min="1293" max="1293" width="6.19921875" style="3" customWidth="1"/>
    <col min="1294" max="1294" width="7.46484375" style="3" customWidth="1"/>
    <col min="1295" max="1295" width="6.796875" style="3" customWidth="1"/>
    <col min="1296" max="1296" width="8.19921875" style="3" customWidth="1"/>
    <col min="1297" max="1539" width="9.19921875" style="3"/>
    <col min="1540" max="1540" width="13" style="3" customWidth="1"/>
    <col min="1541" max="1541" width="6.796875" style="3" customWidth="1"/>
    <col min="1542" max="1542" width="7" style="3" customWidth="1"/>
    <col min="1543" max="1543" width="6.46484375" style="3" customWidth="1"/>
    <col min="1544" max="1544" width="8.19921875" style="3" customWidth="1"/>
    <col min="1545" max="1545" width="6.53125" style="3" customWidth="1"/>
    <col min="1546" max="1546" width="7.46484375" style="3" customWidth="1"/>
    <col min="1547" max="1547" width="7.19921875" style="3" customWidth="1"/>
    <col min="1548" max="1548" width="8" style="3" customWidth="1"/>
    <col min="1549" max="1549" width="6.19921875" style="3" customWidth="1"/>
    <col min="1550" max="1550" width="7.46484375" style="3" customWidth="1"/>
    <col min="1551" max="1551" width="6.796875" style="3" customWidth="1"/>
    <col min="1552" max="1552" width="8.19921875" style="3" customWidth="1"/>
    <col min="1553" max="1795" width="9.19921875" style="3"/>
    <col min="1796" max="1796" width="13" style="3" customWidth="1"/>
    <col min="1797" max="1797" width="6.796875" style="3" customWidth="1"/>
    <col min="1798" max="1798" width="7" style="3" customWidth="1"/>
    <col min="1799" max="1799" width="6.46484375" style="3" customWidth="1"/>
    <col min="1800" max="1800" width="8.19921875" style="3" customWidth="1"/>
    <col min="1801" max="1801" width="6.53125" style="3" customWidth="1"/>
    <col min="1802" max="1802" width="7.46484375" style="3" customWidth="1"/>
    <col min="1803" max="1803" width="7.19921875" style="3" customWidth="1"/>
    <col min="1804" max="1804" width="8" style="3" customWidth="1"/>
    <col min="1805" max="1805" width="6.19921875" style="3" customWidth="1"/>
    <col min="1806" max="1806" width="7.46484375" style="3" customWidth="1"/>
    <col min="1807" max="1807" width="6.796875" style="3" customWidth="1"/>
    <col min="1808" max="1808" width="8.19921875" style="3" customWidth="1"/>
    <col min="1809" max="2051" width="9.19921875" style="3"/>
    <col min="2052" max="2052" width="13" style="3" customWidth="1"/>
    <col min="2053" max="2053" width="6.796875" style="3" customWidth="1"/>
    <col min="2054" max="2054" width="7" style="3" customWidth="1"/>
    <col min="2055" max="2055" width="6.46484375" style="3" customWidth="1"/>
    <col min="2056" max="2056" width="8.19921875" style="3" customWidth="1"/>
    <col min="2057" max="2057" width="6.53125" style="3" customWidth="1"/>
    <col min="2058" max="2058" width="7.46484375" style="3" customWidth="1"/>
    <col min="2059" max="2059" width="7.19921875" style="3" customWidth="1"/>
    <col min="2060" max="2060" width="8" style="3" customWidth="1"/>
    <col min="2061" max="2061" width="6.19921875" style="3" customWidth="1"/>
    <col min="2062" max="2062" width="7.46484375" style="3" customWidth="1"/>
    <col min="2063" max="2063" width="6.796875" style="3" customWidth="1"/>
    <col min="2064" max="2064" width="8.19921875" style="3" customWidth="1"/>
    <col min="2065" max="2307" width="9.19921875" style="3"/>
    <col min="2308" max="2308" width="13" style="3" customWidth="1"/>
    <col min="2309" max="2309" width="6.796875" style="3" customWidth="1"/>
    <col min="2310" max="2310" width="7" style="3" customWidth="1"/>
    <col min="2311" max="2311" width="6.46484375" style="3" customWidth="1"/>
    <col min="2312" max="2312" width="8.19921875" style="3" customWidth="1"/>
    <col min="2313" max="2313" width="6.53125" style="3" customWidth="1"/>
    <col min="2314" max="2314" width="7.46484375" style="3" customWidth="1"/>
    <col min="2315" max="2315" width="7.19921875" style="3" customWidth="1"/>
    <col min="2316" max="2316" width="8" style="3" customWidth="1"/>
    <col min="2317" max="2317" width="6.19921875" style="3" customWidth="1"/>
    <col min="2318" max="2318" width="7.46484375" style="3" customWidth="1"/>
    <col min="2319" max="2319" width="6.796875" style="3" customWidth="1"/>
    <col min="2320" max="2320" width="8.19921875" style="3" customWidth="1"/>
    <col min="2321" max="2563" width="9.19921875" style="3"/>
    <col min="2564" max="2564" width="13" style="3" customWidth="1"/>
    <col min="2565" max="2565" width="6.796875" style="3" customWidth="1"/>
    <col min="2566" max="2566" width="7" style="3" customWidth="1"/>
    <col min="2567" max="2567" width="6.46484375" style="3" customWidth="1"/>
    <col min="2568" max="2568" width="8.19921875" style="3" customWidth="1"/>
    <col min="2569" max="2569" width="6.53125" style="3" customWidth="1"/>
    <col min="2570" max="2570" width="7.46484375" style="3" customWidth="1"/>
    <col min="2571" max="2571" width="7.19921875" style="3" customWidth="1"/>
    <col min="2572" max="2572" width="8" style="3" customWidth="1"/>
    <col min="2573" max="2573" width="6.19921875" style="3" customWidth="1"/>
    <col min="2574" max="2574" width="7.46484375" style="3" customWidth="1"/>
    <col min="2575" max="2575" width="6.796875" style="3" customWidth="1"/>
    <col min="2576" max="2576" width="8.19921875" style="3" customWidth="1"/>
    <col min="2577" max="2819" width="9.19921875" style="3"/>
    <col min="2820" max="2820" width="13" style="3" customWidth="1"/>
    <col min="2821" max="2821" width="6.796875" style="3" customWidth="1"/>
    <col min="2822" max="2822" width="7" style="3" customWidth="1"/>
    <col min="2823" max="2823" width="6.46484375" style="3" customWidth="1"/>
    <col min="2824" max="2824" width="8.19921875" style="3" customWidth="1"/>
    <col min="2825" max="2825" width="6.53125" style="3" customWidth="1"/>
    <col min="2826" max="2826" width="7.46484375" style="3" customWidth="1"/>
    <col min="2827" max="2827" width="7.19921875" style="3" customWidth="1"/>
    <col min="2828" max="2828" width="8" style="3" customWidth="1"/>
    <col min="2829" max="2829" width="6.19921875" style="3" customWidth="1"/>
    <col min="2830" max="2830" width="7.46484375" style="3" customWidth="1"/>
    <col min="2831" max="2831" width="6.796875" style="3" customWidth="1"/>
    <col min="2832" max="2832" width="8.19921875" style="3" customWidth="1"/>
    <col min="2833" max="3075" width="9.19921875" style="3"/>
    <col min="3076" max="3076" width="13" style="3" customWidth="1"/>
    <col min="3077" max="3077" width="6.796875" style="3" customWidth="1"/>
    <col min="3078" max="3078" width="7" style="3" customWidth="1"/>
    <col min="3079" max="3079" width="6.46484375" style="3" customWidth="1"/>
    <col min="3080" max="3080" width="8.19921875" style="3" customWidth="1"/>
    <col min="3081" max="3081" width="6.53125" style="3" customWidth="1"/>
    <col min="3082" max="3082" width="7.46484375" style="3" customWidth="1"/>
    <col min="3083" max="3083" width="7.19921875" style="3" customWidth="1"/>
    <col min="3084" max="3084" width="8" style="3" customWidth="1"/>
    <col min="3085" max="3085" width="6.19921875" style="3" customWidth="1"/>
    <col min="3086" max="3086" width="7.46484375" style="3" customWidth="1"/>
    <col min="3087" max="3087" width="6.796875" style="3" customWidth="1"/>
    <col min="3088" max="3088" width="8.19921875" style="3" customWidth="1"/>
    <col min="3089" max="3331" width="9.19921875" style="3"/>
    <col min="3332" max="3332" width="13" style="3" customWidth="1"/>
    <col min="3333" max="3333" width="6.796875" style="3" customWidth="1"/>
    <col min="3334" max="3334" width="7" style="3" customWidth="1"/>
    <col min="3335" max="3335" width="6.46484375" style="3" customWidth="1"/>
    <col min="3336" max="3336" width="8.19921875" style="3" customWidth="1"/>
    <col min="3337" max="3337" width="6.53125" style="3" customWidth="1"/>
    <col min="3338" max="3338" width="7.46484375" style="3" customWidth="1"/>
    <col min="3339" max="3339" width="7.19921875" style="3" customWidth="1"/>
    <col min="3340" max="3340" width="8" style="3" customWidth="1"/>
    <col min="3341" max="3341" width="6.19921875" style="3" customWidth="1"/>
    <col min="3342" max="3342" width="7.46484375" style="3" customWidth="1"/>
    <col min="3343" max="3343" width="6.796875" style="3" customWidth="1"/>
    <col min="3344" max="3344" width="8.19921875" style="3" customWidth="1"/>
    <col min="3345" max="3587" width="9.19921875" style="3"/>
    <col min="3588" max="3588" width="13" style="3" customWidth="1"/>
    <col min="3589" max="3589" width="6.796875" style="3" customWidth="1"/>
    <col min="3590" max="3590" width="7" style="3" customWidth="1"/>
    <col min="3591" max="3591" width="6.46484375" style="3" customWidth="1"/>
    <col min="3592" max="3592" width="8.19921875" style="3" customWidth="1"/>
    <col min="3593" max="3593" width="6.53125" style="3" customWidth="1"/>
    <col min="3594" max="3594" width="7.46484375" style="3" customWidth="1"/>
    <col min="3595" max="3595" width="7.19921875" style="3" customWidth="1"/>
    <col min="3596" max="3596" width="8" style="3" customWidth="1"/>
    <col min="3597" max="3597" width="6.19921875" style="3" customWidth="1"/>
    <col min="3598" max="3598" width="7.46484375" style="3" customWidth="1"/>
    <col min="3599" max="3599" width="6.796875" style="3" customWidth="1"/>
    <col min="3600" max="3600" width="8.19921875" style="3" customWidth="1"/>
    <col min="3601" max="3843" width="9.19921875" style="3"/>
    <col min="3844" max="3844" width="13" style="3" customWidth="1"/>
    <col min="3845" max="3845" width="6.796875" style="3" customWidth="1"/>
    <col min="3846" max="3846" width="7" style="3" customWidth="1"/>
    <col min="3847" max="3847" width="6.46484375" style="3" customWidth="1"/>
    <col min="3848" max="3848" width="8.19921875" style="3" customWidth="1"/>
    <col min="3849" max="3849" width="6.53125" style="3" customWidth="1"/>
    <col min="3850" max="3850" width="7.46484375" style="3" customWidth="1"/>
    <col min="3851" max="3851" width="7.19921875" style="3" customWidth="1"/>
    <col min="3852" max="3852" width="8" style="3" customWidth="1"/>
    <col min="3853" max="3853" width="6.19921875" style="3" customWidth="1"/>
    <col min="3854" max="3854" width="7.46484375" style="3" customWidth="1"/>
    <col min="3855" max="3855" width="6.796875" style="3" customWidth="1"/>
    <col min="3856" max="3856" width="8.19921875" style="3" customWidth="1"/>
    <col min="3857" max="4099" width="9.19921875" style="3"/>
    <col min="4100" max="4100" width="13" style="3" customWidth="1"/>
    <col min="4101" max="4101" width="6.796875" style="3" customWidth="1"/>
    <col min="4102" max="4102" width="7" style="3" customWidth="1"/>
    <col min="4103" max="4103" width="6.46484375" style="3" customWidth="1"/>
    <col min="4104" max="4104" width="8.19921875" style="3" customWidth="1"/>
    <col min="4105" max="4105" width="6.53125" style="3" customWidth="1"/>
    <col min="4106" max="4106" width="7.46484375" style="3" customWidth="1"/>
    <col min="4107" max="4107" width="7.19921875" style="3" customWidth="1"/>
    <col min="4108" max="4108" width="8" style="3" customWidth="1"/>
    <col min="4109" max="4109" width="6.19921875" style="3" customWidth="1"/>
    <col min="4110" max="4110" width="7.46484375" style="3" customWidth="1"/>
    <col min="4111" max="4111" width="6.796875" style="3" customWidth="1"/>
    <col min="4112" max="4112" width="8.19921875" style="3" customWidth="1"/>
    <col min="4113" max="4355" width="9.19921875" style="3"/>
    <col min="4356" max="4356" width="13" style="3" customWidth="1"/>
    <col min="4357" max="4357" width="6.796875" style="3" customWidth="1"/>
    <col min="4358" max="4358" width="7" style="3" customWidth="1"/>
    <col min="4359" max="4359" width="6.46484375" style="3" customWidth="1"/>
    <col min="4360" max="4360" width="8.19921875" style="3" customWidth="1"/>
    <col min="4361" max="4361" width="6.53125" style="3" customWidth="1"/>
    <col min="4362" max="4362" width="7.46484375" style="3" customWidth="1"/>
    <col min="4363" max="4363" width="7.19921875" style="3" customWidth="1"/>
    <col min="4364" max="4364" width="8" style="3" customWidth="1"/>
    <col min="4365" max="4365" width="6.19921875" style="3" customWidth="1"/>
    <col min="4366" max="4366" width="7.46484375" style="3" customWidth="1"/>
    <col min="4367" max="4367" width="6.796875" style="3" customWidth="1"/>
    <col min="4368" max="4368" width="8.19921875" style="3" customWidth="1"/>
    <col min="4369" max="4611" width="9.19921875" style="3"/>
    <col min="4612" max="4612" width="13" style="3" customWidth="1"/>
    <col min="4613" max="4613" width="6.796875" style="3" customWidth="1"/>
    <col min="4614" max="4614" width="7" style="3" customWidth="1"/>
    <col min="4615" max="4615" width="6.46484375" style="3" customWidth="1"/>
    <col min="4616" max="4616" width="8.19921875" style="3" customWidth="1"/>
    <col min="4617" max="4617" width="6.53125" style="3" customWidth="1"/>
    <col min="4618" max="4618" width="7.46484375" style="3" customWidth="1"/>
    <col min="4619" max="4619" width="7.19921875" style="3" customWidth="1"/>
    <col min="4620" max="4620" width="8" style="3" customWidth="1"/>
    <col min="4621" max="4621" width="6.19921875" style="3" customWidth="1"/>
    <col min="4622" max="4622" width="7.46484375" style="3" customWidth="1"/>
    <col min="4623" max="4623" width="6.796875" style="3" customWidth="1"/>
    <col min="4624" max="4624" width="8.19921875" style="3" customWidth="1"/>
    <col min="4625" max="4867" width="9.19921875" style="3"/>
    <col min="4868" max="4868" width="13" style="3" customWidth="1"/>
    <col min="4869" max="4869" width="6.796875" style="3" customWidth="1"/>
    <col min="4870" max="4870" width="7" style="3" customWidth="1"/>
    <col min="4871" max="4871" width="6.46484375" style="3" customWidth="1"/>
    <col min="4872" max="4872" width="8.19921875" style="3" customWidth="1"/>
    <col min="4873" max="4873" width="6.53125" style="3" customWidth="1"/>
    <col min="4874" max="4874" width="7.46484375" style="3" customWidth="1"/>
    <col min="4875" max="4875" width="7.19921875" style="3" customWidth="1"/>
    <col min="4876" max="4876" width="8" style="3" customWidth="1"/>
    <col min="4877" max="4877" width="6.19921875" style="3" customWidth="1"/>
    <col min="4878" max="4878" width="7.46484375" style="3" customWidth="1"/>
    <col min="4879" max="4879" width="6.796875" style="3" customWidth="1"/>
    <col min="4880" max="4880" width="8.19921875" style="3" customWidth="1"/>
    <col min="4881" max="5123" width="9.19921875" style="3"/>
    <col min="5124" max="5124" width="13" style="3" customWidth="1"/>
    <col min="5125" max="5125" width="6.796875" style="3" customWidth="1"/>
    <col min="5126" max="5126" width="7" style="3" customWidth="1"/>
    <col min="5127" max="5127" width="6.46484375" style="3" customWidth="1"/>
    <col min="5128" max="5128" width="8.19921875" style="3" customWidth="1"/>
    <col min="5129" max="5129" width="6.53125" style="3" customWidth="1"/>
    <col min="5130" max="5130" width="7.46484375" style="3" customWidth="1"/>
    <col min="5131" max="5131" width="7.19921875" style="3" customWidth="1"/>
    <col min="5132" max="5132" width="8" style="3" customWidth="1"/>
    <col min="5133" max="5133" width="6.19921875" style="3" customWidth="1"/>
    <col min="5134" max="5134" width="7.46484375" style="3" customWidth="1"/>
    <col min="5135" max="5135" width="6.796875" style="3" customWidth="1"/>
    <col min="5136" max="5136" width="8.19921875" style="3" customWidth="1"/>
    <col min="5137" max="5379" width="9.19921875" style="3"/>
    <col min="5380" max="5380" width="13" style="3" customWidth="1"/>
    <col min="5381" max="5381" width="6.796875" style="3" customWidth="1"/>
    <col min="5382" max="5382" width="7" style="3" customWidth="1"/>
    <col min="5383" max="5383" width="6.46484375" style="3" customWidth="1"/>
    <col min="5384" max="5384" width="8.19921875" style="3" customWidth="1"/>
    <col min="5385" max="5385" width="6.53125" style="3" customWidth="1"/>
    <col min="5386" max="5386" width="7.46484375" style="3" customWidth="1"/>
    <col min="5387" max="5387" width="7.19921875" style="3" customWidth="1"/>
    <col min="5388" max="5388" width="8" style="3" customWidth="1"/>
    <col min="5389" max="5389" width="6.19921875" style="3" customWidth="1"/>
    <col min="5390" max="5390" width="7.46484375" style="3" customWidth="1"/>
    <col min="5391" max="5391" width="6.796875" style="3" customWidth="1"/>
    <col min="5392" max="5392" width="8.19921875" style="3" customWidth="1"/>
    <col min="5393" max="5635" width="9.19921875" style="3"/>
    <col min="5636" max="5636" width="13" style="3" customWidth="1"/>
    <col min="5637" max="5637" width="6.796875" style="3" customWidth="1"/>
    <col min="5638" max="5638" width="7" style="3" customWidth="1"/>
    <col min="5639" max="5639" width="6.46484375" style="3" customWidth="1"/>
    <col min="5640" max="5640" width="8.19921875" style="3" customWidth="1"/>
    <col min="5641" max="5641" width="6.53125" style="3" customWidth="1"/>
    <col min="5642" max="5642" width="7.46484375" style="3" customWidth="1"/>
    <col min="5643" max="5643" width="7.19921875" style="3" customWidth="1"/>
    <col min="5644" max="5644" width="8" style="3" customWidth="1"/>
    <col min="5645" max="5645" width="6.19921875" style="3" customWidth="1"/>
    <col min="5646" max="5646" width="7.46484375" style="3" customWidth="1"/>
    <col min="5647" max="5647" width="6.796875" style="3" customWidth="1"/>
    <col min="5648" max="5648" width="8.19921875" style="3" customWidth="1"/>
    <col min="5649" max="5891" width="9.19921875" style="3"/>
    <col min="5892" max="5892" width="13" style="3" customWidth="1"/>
    <col min="5893" max="5893" width="6.796875" style="3" customWidth="1"/>
    <col min="5894" max="5894" width="7" style="3" customWidth="1"/>
    <col min="5895" max="5895" width="6.46484375" style="3" customWidth="1"/>
    <col min="5896" max="5896" width="8.19921875" style="3" customWidth="1"/>
    <col min="5897" max="5897" width="6.53125" style="3" customWidth="1"/>
    <col min="5898" max="5898" width="7.46484375" style="3" customWidth="1"/>
    <col min="5899" max="5899" width="7.19921875" style="3" customWidth="1"/>
    <col min="5900" max="5900" width="8" style="3" customWidth="1"/>
    <col min="5901" max="5901" width="6.19921875" style="3" customWidth="1"/>
    <col min="5902" max="5902" width="7.46484375" style="3" customWidth="1"/>
    <col min="5903" max="5903" width="6.796875" style="3" customWidth="1"/>
    <col min="5904" max="5904" width="8.19921875" style="3" customWidth="1"/>
    <col min="5905" max="6147" width="9.19921875" style="3"/>
    <col min="6148" max="6148" width="13" style="3" customWidth="1"/>
    <col min="6149" max="6149" width="6.796875" style="3" customWidth="1"/>
    <col min="6150" max="6150" width="7" style="3" customWidth="1"/>
    <col min="6151" max="6151" width="6.46484375" style="3" customWidth="1"/>
    <col min="6152" max="6152" width="8.19921875" style="3" customWidth="1"/>
    <col min="6153" max="6153" width="6.53125" style="3" customWidth="1"/>
    <col min="6154" max="6154" width="7.46484375" style="3" customWidth="1"/>
    <col min="6155" max="6155" width="7.19921875" style="3" customWidth="1"/>
    <col min="6156" max="6156" width="8" style="3" customWidth="1"/>
    <col min="6157" max="6157" width="6.19921875" style="3" customWidth="1"/>
    <col min="6158" max="6158" width="7.46484375" style="3" customWidth="1"/>
    <col min="6159" max="6159" width="6.796875" style="3" customWidth="1"/>
    <col min="6160" max="6160" width="8.19921875" style="3" customWidth="1"/>
    <col min="6161" max="6403" width="9.19921875" style="3"/>
    <col min="6404" max="6404" width="13" style="3" customWidth="1"/>
    <col min="6405" max="6405" width="6.796875" style="3" customWidth="1"/>
    <col min="6406" max="6406" width="7" style="3" customWidth="1"/>
    <col min="6407" max="6407" width="6.46484375" style="3" customWidth="1"/>
    <col min="6408" max="6408" width="8.19921875" style="3" customWidth="1"/>
    <col min="6409" max="6409" width="6.53125" style="3" customWidth="1"/>
    <col min="6410" max="6410" width="7.46484375" style="3" customWidth="1"/>
    <col min="6411" max="6411" width="7.19921875" style="3" customWidth="1"/>
    <col min="6412" max="6412" width="8" style="3" customWidth="1"/>
    <col min="6413" max="6413" width="6.19921875" style="3" customWidth="1"/>
    <col min="6414" max="6414" width="7.46484375" style="3" customWidth="1"/>
    <col min="6415" max="6415" width="6.796875" style="3" customWidth="1"/>
    <col min="6416" max="6416" width="8.19921875" style="3" customWidth="1"/>
    <col min="6417" max="6659" width="9.19921875" style="3"/>
    <col min="6660" max="6660" width="13" style="3" customWidth="1"/>
    <col min="6661" max="6661" width="6.796875" style="3" customWidth="1"/>
    <col min="6662" max="6662" width="7" style="3" customWidth="1"/>
    <col min="6663" max="6663" width="6.46484375" style="3" customWidth="1"/>
    <col min="6664" max="6664" width="8.19921875" style="3" customWidth="1"/>
    <col min="6665" max="6665" width="6.53125" style="3" customWidth="1"/>
    <col min="6666" max="6666" width="7.46484375" style="3" customWidth="1"/>
    <col min="6667" max="6667" width="7.19921875" style="3" customWidth="1"/>
    <col min="6668" max="6668" width="8" style="3" customWidth="1"/>
    <col min="6669" max="6669" width="6.19921875" style="3" customWidth="1"/>
    <col min="6670" max="6670" width="7.46484375" style="3" customWidth="1"/>
    <col min="6671" max="6671" width="6.796875" style="3" customWidth="1"/>
    <col min="6672" max="6672" width="8.19921875" style="3" customWidth="1"/>
    <col min="6673" max="6915" width="9.19921875" style="3"/>
    <col min="6916" max="6916" width="13" style="3" customWidth="1"/>
    <col min="6917" max="6917" width="6.796875" style="3" customWidth="1"/>
    <col min="6918" max="6918" width="7" style="3" customWidth="1"/>
    <col min="6919" max="6919" width="6.46484375" style="3" customWidth="1"/>
    <col min="6920" max="6920" width="8.19921875" style="3" customWidth="1"/>
    <col min="6921" max="6921" width="6.53125" style="3" customWidth="1"/>
    <col min="6922" max="6922" width="7.46484375" style="3" customWidth="1"/>
    <col min="6923" max="6923" width="7.19921875" style="3" customWidth="1"/>
    <col min="6924" max="6924" width="8" style="3" customWidth="1"/>
    <col min="6925" max="6925" width="6.19921875" style="3" customWidth="1"/>
    <col min="6926" max="6926" width="7.46484375" style="3" customWidth="1"/>
    <col min="6927" max="6927" width="6.796875" style="3" customWidth="1"/>
    <col min="6928" max="6928" width="8.19921875" style="3" customWidth="1"/>
    <col min="6929" max="7171" width="9.19921875" style="3"/>
    <col min="7172" max="7172" width="13" style="3" customWidth="1"/>
    <col min="7173" max="7173" width="6.796875" style="3" customWidth="1"/>
    <col min="7174" max="7174" width="7" style="3" customWidth="1"/>
    <col min="7175" max="7175" width="6.46484375" style="3" customWidth="1"/>
    <col min="7176" max="7176" width="8.19921875" style="3" customWidth="1"/>
    <col min="7177" max="7177" width="6.53125" style="3" customWidth="1"/>
    <col min="7178" max="7178" width="7.46484375" style="3" customWidth="1"/>
    <col min="7179" max="7179" width="7.19921875" style="3" customWidth="1"/>
    <col min="7180" max="7180" width="8" style="3" customWidth="1"/>
    <col min="7181" max="7181" width="6.19921875" style="3" customWidth="1"/>
    <col min="7182" max="7182" width="7.46484375" style="3" customWidth="1"/>
    <col min="7183" max="7183" width="6.796875" style="3" customWidth="1"/>
    <col min="7184" max="7184" width="8.19921875" style="3" customWidth="1"/>
    <col min="7185" max="7427" width="9.19921875" style="3"/>
    <col min="7428" max="7428" width="13" style="3" customWidth="1"/>
    <col min="7429" max="7429" width="6.796875" style="3" customWidth="1"/>
    <col min="7430" max="7430" width="7" style="3" customWidth="1"/>
    <col min="7431" max="7431" width="6.46484375" style="3" customWidth="1"/>
    <col min="7432" max="7432" width="8.19921875" style="3" customWidth="1"/>
    <col min="7433" max="7433" width="6.53125" style="3" customWidth="1"/>
    <col min="7434" max="7434" width="7.46484375" style="3" customWidth="1"/>
    <col min="7435" max="7435" width="7.19921875" style="3" customWidth="1"/>
    <col min="7436" max="7436" width="8" style="3" customWidth="1"/>
    <col min="7437" max="7437" width="6.19921875" style="3" customWidth="1"/>
    <col min="7438" max="7438" width="7.46484375" style="3" customWidth="1"/>
    <col min="7439" max="7439" width="6.796875" style="3" customWidth="1"/>
    <col min="7440" max="7440" width="8.19921875" style="3" customWidth="1"/>
    <col min="7441" max="7683" width="9.19921875" style="3"/>
    <col min="7684" max="7684" width="13" style="3" customWidth="1"/>
    <col min="7685" max="7685" width="6.796875" style="3" customWidth="1"/>
    <col min="7686" max="7686" width="7" style="3" customWidth="1"/>
    <col min="7687" max="7687" width="6.46484375" style="3" customWidth="1"/>
    <col min="7688" max="7688" width="8.19921875" style="3" customWidth="1"/>
    <col min="7689" max="7689" width="6.53125" style="3" customWidth="1"/>
    <col min="7690" max="7690" width="7.46484375" style="3" customWidth="1"/>
    <col min="7691" max="7691" width="7.19921875" style="3" customWidth="1"/>
    <col min="7692" max="7692" width="8" style="3" customWidth="1"/>
    <col min="7693" max="7693" width="6.19921875" style="3" customWidth="1"/>
    <col min="7694" max="7694" width="7.46484375" style="3" customWidth="1"/>
    <col min="7695" max="7695" width="6.796875" style="3" customWidth="1"/>
    <col min="7696" max="7696" width="8.19921875" style="3" customWidth="1"/>
    <col min="7697" max="7939" width="9.19921875" style="3"/>
    <col min="7940" max="7940" width="13" style="3" customWidth="1"/>
    <col min="7941" max="7941" width="6.796875" style="3" customWidth="1"/>
    <col min="7942" max="7942" width="7" style="3" customWidth="1"/>
    <col min="7943" max="7943" width="6.46484375" style="3" customWidth="1"/>
    <col min="7944" max="7944" width="8.19921875" style="3" customWidth="1"/>
    <col min="7945" max="7945" width="6.53125" style="3" customWidth="1"/>
    <col min="7946" max="7946" width="7.46484375" style="3" customWidth="1"/>
    <col min="7947" max="7947" width="7.19921875" style="3" customWidth="1"/>
    <col min="7948" max="7948" width="8" style="3" customWidth="1"/>
    <col min="7949" max="7949" width="6.19921875" style="3" customWidth="1"/>
    <col min="7950" max="7950" width="7.46484375" style="3" customWidth="1"/>
    <col min="7951" max="7951" width="6.796875" style="3" customWidth="1"/>
    <col min="7952" max="7952" width="8.19921875" style="3" customWidth="1"/>
    <col min="7953" max="8195" width="9.19921875" style="3"/>
    <col min="8196" max="8196" width="13" style="3" customWidth="1"/>
    <col min="8197" max="8197" width="6.796875" style="3" customWidth="1"/>
    <col min="8198" max="8198" width="7" style="3" customWidth="1"/>
    <col min="8199" max="8199" width="6.46484375" style="3" customWidth="1"/>
    <col min="8200" max="8200" width="8.19921875" style="3" customWidth="1"/>
    <col min="8201" max="8201" width="6.53125" style="3" customWidth="1"/>
    <col min="8202" max="8202" width="7.46484375" style="3" customWidth="1"/>
    <col min="8203" max="8203" width="7.19921875" style="3" customWidth="1"/>
    <col min="8204" max="8204" width="8" style="3" customWidth="1"/>
    <col min="8205" max="8205" width="6.19921875" style="3" customWidth="1"/>
    <col min="8206" max="8206" width="7.46484375" style="3" customWidth="1"/>
    <col min="8207" max="8207" width="6.796875" style="3" customWidth="1"/>
    <col min="8208" max="8208" width="8.19921875" style="3" customWidth="1"/>
    <col min="8209" max="8451" width="9.19921875" style="3"/>
    <col min="8452" max="8452" width="13" style="3" customWidth="1"/>
    <col min="8453" max="8453" width="6.796875" style="3" customWidth="1"/>
    <col min="8454" max="8454" width="7" style="3" customWidth="1"/>
    <col min="8455" max="8455" width="6.46484375" style="3" customWidth="1"/>
    <col min="8456" max="8456" width="8.19921875" style="3" customWidth="1"/>
    <col min="8457" max="8457" width="6.53125" style="3" customWidth="1"/>
    <col min="8458" max="8458" width="7.46484375" style="3" customWidth="1"/>
    <col min="8459" max="8459" width="7.19921875" style="3" customWidth="1"/>
    <col min="8460" max="8460" width="8" style="3" customWidth="1"/>
    <col min="8461" max="8461" width="6.19921875" style="3" customWidth="1"/>
    <col min="8462" max="8462" width="7.46484375" style="3" customWidth="1"/>
    <col min="8463" max="8463" width="6.796875" style="3" customWidth="1"/>
    <col min="8464" max="8464" width="8.19921875" style="3" customWidth="1"/>
    <col min="8465" max="8707" width="9.19921875" style="3"/>
    <col min="8708" max="8708" width="13" style="3" customWidth="1"/>
    <col min="8709" max="8709" width="6.796875" style="3" customWidth="1"/>
    <col min="8710" max="8710" width="7" style="3" customWidth="1"/>
    <col min="8711" max="8711" width="6.46484375" style="3" customWidth="1"/>
    <col min="8712" max="8712" width="8.19921875" style="3" customWidth="1"/>
    <col min="8713" max="8713" width="6.53125" style="3" customWidth="1"/>
    <col min="8714" max="8714" width="7.46484375" style="3" customWidth="1"/>
    <col min="8715" max="8715" width="7.19921875" style="3" customWidth="1"/>
    <col min="8716" max="8716" width="8" style="3" customWidth="1"/>
    <col min="8717" max="8717" width="6.19921875" style="3" customWidth="1"/>
    <col min="8718" max="8718" width="7.46484375" style="3" customWidth="1"/>
    <col min="8719" max="8719" width="6.796875" style="3" customWidth="1"/>
    <col min="8720" max="8720" width="8.19921875" style="3" customWidth="1"/>
    <col min="8721" max="8963" width="9.19921875" style="3"/>
    <col min="8964" max="8964" width="13" style="3" customWidth="1"/>
    <col min="8965" max="8965" width="6.796875" style="3" customWidth="1"/>
    <col min="8966" max="8966" width="7" style="3" customWidth="1"/>
    <col min="8967" max="8967" width="6.46484375" style="3" customWidth="1"/>
    <col min="8968" max="8968" width="8.19921875" style="3" customWidth="1"/>
    <col min="8969" max="8969" width="6.53125" style="3" customWidth="1"/>
    <col min="8970" max="8970" width="7.46484375" style="3" customWidth="1"/>
    <col min="8971" max="8971" width="7.19921875" style="3" customWidth="1"/>
    <col min="8972" max="8972" width="8" style="3" customWidth="1"/>
    <col min="8973" max="8973" width="6.19921875" style="3" customWidth="1"/>
    <col min="8974" max="8974" width="7.46484375" style="3" customWidth="1"/>
    <col min="8975" max="8975" width="6.796875" style="3" customWidth="1"/>
    <col min="8976" max="8976" width="8.19921875" style="3" customWidth="1"/>
    <col min="8977" max="9219" width="9.19921875" style="3"/>
    <col min="9220" max="9220" width="13" style="3" customWidth="1"/>
    <col min="9221" max="9221" width="6.796875" style="3" customWidth="1"/>
    <col min="9222" max="9222" width="7" style="3" customWidth="1"/>
    <col min="9223" max="9223" width="6.46484375" style="3" customWidth="1"/>
    <col min="9224" max="9224" width="8.19921875" style="3" customWidth="1"/>
    <col min="9225" max="9225" width="6.53125" style="3" customWidth="1"/>
    <col min="9226" max="9226" width="7.46484375" style="3" customWidth="1"/>
    <col min="9227" max="9227" width="7.19921875" style="3" customWidth="1"/>
    <col min="9228" max="9228" width="8" style="3" customWidth="1"/>
    <col min="9229" max="9229" width="6.19921875" style="3" customWidth="1"/>
    <col min="9230" max="9230" width="7.46484375" style="3" customWidth="1"/>
    <col min="9231" max="9231" width="6.796875" style="3" customWidth="1"/>
    <col min="9232" max="9232" width="8.19921875" style="3" customWidth="1"/>
    <col min="9233" max="9475" width="9.19921875" style="3"/>
    <col min="9476" max="9476" width="13" style="3" customWidth="1"/>
    <col min="9477" max="9477" width="6.796875" style="3" customWidth="1"/>
    <col min="9478" max="9478" width="7" style="3" customWidth="1"/>
    <col min="9479" max="9479" width="6.46484375" style="3" customWidth="1"/>
    <col min="9480" max="9480" width="8.19921875" style="3" customWidth="1"/>
    <col min="9481" max="9481" width="6.53125" style="3" customWidth="1"/>
    <col min="9482" max="9482" width="7.46484375" style="3" customWidth="1"/>
    <col min="9483" max="9483" width="7.19921875" style="3" customWidth="1"/>
    <col min="9484" max="9484" width="8" style="3" customWidth="1"/>
    <col min="9485" max="9485" width="6.19921875" style="3" customWidth="1"/>
    <col min="9486" max="9486" width="7.46484375" style="3" customWidth="1"/>
    <col min="9487" max="9487" width="6.796875" style="3" customWidth="1"/>
    <col min="9488" max="9488" width="8.19921875" style="3" customWidth="1"/>
    <col min="9489" max="9731" width="9.19921875" style="3"/>
    <col min="9732" max="9732" width="13" style="3" customWidth="1"/>
    <col min="9733" max="9733" width="6.796875" style="3" customWidth="1"/>
    <col min="9734" max="9734" width="7" style="3" customWidth="1"/>
    <col min="9735" max="9735" width="6.46484375" style="3" customWidth="1"/>
    <col min="9736" max="9736" width="8.19921875" style="3" customWidth="1"/>
    <col min="9737" max="9737" width="6.53125" style="3" customWidth="1"/>
    <col min="9738" max="9738" width="7.46484375" style="3" customWidth="1"/>
    <col min="9739" max="9739" width="7.19921875" style="3" customWidth="1"/>
    <col min="9740" max="9740" width="8" style="3" customWidth="1"/>
    <col min="9741" max="9741" width="6.19921875" style="3" customWidth="1"/>
    <col min="9742" max="9742" width="7.46484375" style="3" customWidth="1"/>
    <col min="9743" max="9743" width="6.796875" style="3" customWidth="1"/>
    <col min="9744" max="9744" width="8.19921875" style="3" customWidth="1"/>
    <col min="9745" max="9987" width="9.19921875" style="3"/>
    <col min="9988" max="9988" width="13" style="3" customWidth="1"/>
    <col min="9989" max="9989" width="6.796875" style="3" customWidth="1"/>
    <col min="9990" max="9990" width="7" style="3" customWidth="1"/>
    <col min="9991" max="9991" width="6.46484375" style="3" customWidth="1"/>
    <col min="9992" max="9992" width="8.19921875" style="3" customWidth="1"/>
    <col min="9993" max="9993" width="6.53125" style="3" customWidth="1"/>
    <col min="9994" max="9994" width="7.46484375" style="3" customWidth="1"/>
    <col min="9995" max="9995" width="7.19921875" style="3" customWidth="1"/>
    <col min="9996" max="9996" width="8" style="3" customWidth="1"/>
    <col min="9997" max="9997" width="6.19921875" style="3" customWidth="1"/>
    <col min="9998" max="9998" width="7.46484375" style="3" customWidth="1"/>
    <col min="9999" max="9999" width="6.796875" style="3" customWidth="1"/>
    <col min="10000" max="10000" width="8.19921875" style="3" customWidth="1"/>
    <col min="10001" max="10243" width="9.19921875" style="3"/>
    <col min="10244" max="10244" width="13" style="3" customWidth="1"/>
    <col min="10245" max="10245" width="6.796875" style="3" customWidth="1"/>
    <col min="10246" max="10246" width="7" style="3" customWidth="1"/>
    <col min="10247" max="10247" width="6.46484375" style="3" customWidth="1"/>
    <col min="10248" max="10248" width="8.19921875" style="3" customWidth="1"/>
    <col min="10249" max="10249" width="6.53125" style="3" customWidth="1"/>
    <col min="10250" max="10250" width="7.46484375" style="3" customWidth="1"/>
    <col min="10251" max="10251" width="7.19921875" style="3" customWidth="1"/>
    <col min="10252" max="10252" width="8" style="3" customWidth="1"/>
    <col min="10253" max="10253" width="6.19921875" style="3" customWidth="1"/>
    <col min="10254" max="10254" width="7.46484375" style="3" customWidth="1"/>
    <col min="10255" max="10255" width="6.796875" style="3" customWidth="1"/>
    <col min="10256" max="10256" width="8.19921875" style="3" customWidth="1"/>
    <col min="10257" max="10499" width="9.19921875" style="3"/>
    <col min="10500" max="10500" width="13" style="3" customWidth="1"/>
    <col min="10501" max="10501" width="6.796875" style="3" customWidth="1"/>
    <col min="10502" max="10502" width="7" style="3" customWidth="1"/>
    <col min="10503" max="10503" width="6.46484375" style="3" customWidth="1"/>
    <col min="10504" max="10504" width="8.19921875" style="3" customWidth="1"/>
    <col min="10505" max="10505" width="6.53125" style="3" customWidth="1"/>
    <col min="10506" max="10506" width="7.46484375" style="3" customWidth="1"/>
    <col min="10507" max="10507" width="7.19921875" style="3" customWidth="1"/>
    <col min="10508" max="10508" width="8" style="3" customWidth="1"/>
    <col min="10509" max="10509" width="6.19921875" style="3" customWidth="1"/>
    <col min="10510" max="10510" width="7.46484375" style="3" customWidth="1"/>
    <col min="10511" max="10511" width="6.796875" style="3" customWidth="1"/>
    <col min="10512" max="10512" width="8.19921875" style="3" customWidth="1"/>
    <col min="10513" max="10755" width="9.19921875" style="3"/>
    <col min="10756" max="10756" width="13" style="3" customWidth="1"/>
    <col min="10757" max="10757" width="6.796875" style="3" customWidth="1"/>
    <col min="10758" max="10758" width="7" style="3" customWidth="1"/>
    <col min="10759" max="10759" width="6.46484375" style="3" customWidth="1"/>
    <col min="10760" max="10760" width="8.19921875" style="3" customWidth="1"/>
    <col min="10761" max="10761" width="6.53125" style="3" customWidth="1"/>
    <col min="10762" max="10762" width="7.46484375" style="3" customWidth="1"/>
    <col min="10763" max="10763" width="7.19921875" style="3" customWidth="1"/>
    <col min="10764" max="10764" width="8" style="3" customWidth="1"/>
    <col min="10765" max="10765" width="6.19921875" style="3" customWidth="1"/>
    <col min="10766" max="10766" width="7.46484375" style="3" customWidth="1"/>
    <col min="10767" max="10767" width="6.796875" style="3" customWidth="1"/>
    <col min="10768" max="10768" width="8.19921875" style="3" customWidth="1"/>
    <col min="10769" max="11011" width="9.19921875" style="3"/>
    <col min="11012" max="11012" width="13" style="3" customWidth="1"/>
    <col min="11013" max="11013" width="6.796875" style="3" customWidth="1"/>
    <col min="11014" max="11014" width="7" style="3" customWidth="1"/>
    <col min="11015" max="11015" width="6.46484375" style="3" customWidth="1"/>
    <col min="11016" max="11016" width="8.19921875" style="3" customWidth="1"/>
    <col min="11017" max="11017" width="6.53125" style="3" customWidth="1"/>
    <col min="11018" max="11018" width="7.46484375" style="3" customWidth="1"/>
    <col min="11019" max="11019" width="7.19921875" style="3" customWidth="1"/>
    <col min="11020" max="11020" width="8" style="3" customWidth="1"/>
    <col min="11021" max="11021" width="6.19921875" style="3" customWidth="1"/>
    <col min="11022" max="11022" width="7.46484375" style="3" customWidth="1"/>
    <col min="11023" max="11023" width="6.796875" style="3" customWidth="1"/>
    <col min="11024" max="11024" width="8.19921875" style="3" customWidth="1"/>
    <col min="11025" max="11267" width="9.19921875" style="3"/>
    <col min="11268" max="11268" width="13" style="3" customWidth="1"/>
    <col min="11269" max="11269" width="6.796875" style="3" customWidth="1"/>
    <col min="11270" max="11270" width="7" style="3" customWidth="1"/>
    <col min="11271" max="11271" width="6.46484375" style="3" customWidth="1"/>
    <col min="11272" max="11272" width="8.19921875" style="3" customWidth="1"/>
    <col min="11273" max="11273" width="6.53125" style="3" customWidth="1"/>
    <col min="11274" max="11274" width="7.46484375" style="3" customWidth="1"/>
    <col min="11275" max="11275" width="7.19921875" style="3" customWidth="1"/>
    <col min="11276" max="11276" width="8" style="3" customWidth="1"/>
    <col min="11277" max="11277" width="6.19921875" style="3" customWidth="1"/>
    <col min="11278" max="11278" width="7.46484375" style="3" customWidth="1"/>
    <col min="11279" max="11279" width="6.796875" style="3" customWidth="1"/>
    <col min="11280" max="11280" width="8.19921875" style="3" customWidth="1"/>
    <col min="11281" max="11523" width="9.19921875" style="3"/>
    <col min="11524" max="11524" width="13" style="3" customWidth="1"/>
    <col min="11525" max="11525" width="6.796875" style="3" customWidth="1"/>
    <col min="11526" max="11526" width="7" style="3" customWidth="1"/>
    <col min="11527" max="11527" width="6.46484375" style="3" customWidth="1"/>
    <col min="11528" max="11528" width="8.19921875" style="3" customWidth="1"/>
    <col min="11529" max="11529" width="6.53125" style="3" customWidth="1"/>
    <col min="11530" max="11530" width="7.46484375" style="3" customWidth="1"/>
    <col min="11531" max="11531" width="7.19921875" style="3" customWidth="1"/>
    <col min="11532" max="11532" width="8" style="3" customWidth="1"/>
    <col min="11533" max="11533" width="6.19921875" style="3" customWidth="1"/>
    <col min="11534" max="11534" width="7.46484375" style="3" customWidth="1"/>
    <col min="11535" max="11535" width="6.796875" style="3" customWidth="1"/>
    <col min="11536" max="11536" width="8.19921875" style="3" customWidth="1"/>
    <col min="11537" max="11779" width="9.19921875" style="3"/>
    <col min="11780" max="11780" width="13" style="3" customWidth="1"/>
    <col min="11781" max="11781" width="6.796875" style="3" customWidth="1"/>
    <col min="11782" max="11782" width="7" style="3" customWidth="1"/>
    <col min="11783" max="11783" width="6.46484375" style="3" customWidth="1"/>
    <col min="11784" max="11784" width="8.19921875" style="3" customWidth="1"/>
    <col min="11785" max="11785" width="6.53125" style="3" customWidth="1"/>
    <col min="11786" max="11786" width="7.46484375" style="3" customWidth="1"/>
    <col min="11787" max="11787" width="7.19921875" style="3" customWidth="1"/>
    <col min="11788" max="11788" width="8" style="3" customWidth="1"/>
    <col min="11789" max="11789" width="6.19921875" style="3" customWidth="1"/>
    <col min="11790" max="11790" width="7.46484375" style="3" customWidth="1"/>
    <col min="11791" max="11791" width="6.796875" style="3" customWidth="1"/>
    <col min="11792" max="11792" width="8.19921875" style="3" customWidth="1"/>
    <col min="11793" max="12035" width="9.19921875" style="3"/>
    <col min="12036" max="12036" width="13" style="3" customWidth="1"/>
    <col min="12037" max="12037" width="6.796875" style="3" customWidth="1"/>
    <col min="12038" max="12038" width="7" style="3" customWidth="1"/>
    <col min="12039" max="12039" width="6.46484375" style="3" customWidth="1"/>
    <col min="12040" max="12040" width="8.19921875" style="3" customWidth="1"/>
    <col min="12041" max="12041" width="6.53125" style="3" customWidth="1"/>
    <col min="12042" max="12042" width="7.46484375" style="3" customWidth="1"/>
    <col min="12043" max="12043" width="7.19921875" style="3" customWidth="1"/>
    <col min="12044" max="12044" width="8" style="3" customWidth="1"/>
    <col min="12045" max="12045" width="6.19921875" style="3" customWidth="1"/>
    <col min="12046" max="12046" width="7.46484375" style="3" customWidth="1"/>
    <col min="12047" max="12047" width="6.796875" style="3" customWidth="1"/>
    <col min="12048" max="12048" width="8.19921875" style="3" customWidth="1"/>
    <col min="12049" max="12291" width="9.19921875" style="3"/>
    <col min="12292" max="12292" width="13" style="3" customWidth="1"/>
    <col min="12293" max="12293" width="6.796875" style="3" customWidth="1"/>
    <col min="12294" max="12294" width="7" style="3" customWidth="1"/>
    <col min="12295" max="12295" width="6.46484375" style="3" customWidth="1"/>
    <col min="12296" max="12296" width="8.19921875" style="3" customWidth="1"/>
    <col min="12297" max="12297" width="6.53125" style="3" customWidth="1"/>
    <col min="12298" max="12298" width="7.46484375" style="3" customWidth="1"/>
    <col min="12299" max="12299" width="7.19921875" style="3" customWidth="1"/>
    <col min="12300" max="12300" width="8" style="3" customWidth="1"/>
    <col min="12301" max="12301" width="6.19921875" style="3" customWidth="1"/>
    <col min="12302" max="12302" width="7.46484375" style="3" customWidth="1"/>
    <col min="12303" max="12303" width="6.796875" style="3" customWidth="1"/>
    <col min="12304" max="12304" width="8.19921875" style="3" customWidth="1"/>
    <col min="12305" max="12547" width="9.19921875" style="3"/>
    <col min="12548" max="12548" width="13" style="3" customWidth="1"/>
    <col min="12549" max="12549" width="6.796875" style="3" customWidth="1"/>
    <col min="12550" max="12550" width="7" style="3" customWidth="1"/>
    <col min="12551" max="12551" width="6.46484375" style="3" customWidth="1"/>
    <col min="12552" max="12552" width="8.19921875" style="3" customWidth="1"/>
    <col min="12553" max="12553" width="6.53125" style="3" customWidth="1"/>
    <col min="12554" max="12554" width="7.46484375" style="3" customWidth="1"/>
    <col min="12555" max="12555" width="7.19921875" style="3" customWidth="1"/>
    <col min="12556" max="12556" width="8" style="3" customWidth="1"/>
    <col min="12557" max="12557" width="6.19921875" style="3" customWidth="1"/>
    <col min="12558" max="12558" width="7.46484375" style="3" customWidth="1"/>
    <col min="12559" max="12559" width="6.796875" style="3" customWidth="1"/>
    <col min="12560" max="12560" width="8.19921875" style="3" customWidth="1"/>
    <col min="12561" max="12803" width="9.19921875" style="3"/>
    <col min="12804" max="12804" width="13" style="3" customWidth="1"/>
    <col min="12805" max="12805" width="6.796875" style="3" customWidth="1"/>
    <col min="12806" max="12806" width="7" style="3" customWidth="1"/>
    <col min="12807" max="12807" width="6.46484375" style="3" customWidth="1"/>
    <col min="12808" max="12808" width="8.19921875" style="3" customWidth="1"/>
    <col min="12809" max="12809" width="6.53125" style="3" customWidth="1"/>
    <col min="12810" max="12810" width="7.46484375" style="3" customWidth="1"/>
    <col min="12811" max="12811" width="7.19921875" style="3" customWidth="1"/>
    <col min="12812" max="12812" width="8" style="3" customWidth="1"/>
    <col min="12813" max="12813" width="6.19921875" style="3" customWidth="1"/>
    <col min="12814" max="12814" width="7.46484375" style="3" customWidth="1"/>
    <col min="12815" max="12815" width="6.796875" style="3" customWidth="1"/>
    <col min="12816" max="12816" width="8.19921875" style="3" customWidth="1"/>
    <col min="12817" max="13059" width="9.19921875" style="3"/>
    <col min="13060" max="13060" width="13" style="3" customWidth="1"/>
    <col min="13061" max="13061" width="6.796875" style="3" customWidth="1"/>
    <col min="13062" max="13062" width="7" style="3" customWidth="1"/>
    <col min="13063" max="13063" width="6.46484375" style="3" customWidth="1"/>
    <col min="13064" max="13064" width="8.19921875" style="3" customWidth="1"/>
    <col min="13065" max="13065" width="6.53125" style="3" customWidth="1"/>
    <col min="13066" max="13066" width="7.46484375" style="3" customWidth="1"/>
    <col min="13067" max="13067" width="7.19921875" style="3" customWidth="1"/>
    <col min="13068" max="13068" width="8" style="3" customWidth="1"/>
    <col min="13069" max="13069" width="6.19921875" style="3" customWidth="1"/>
    <col min="13070" max="13070" width="7.46484375" style="3" customWidth="1"/>
    <col min="13071" max="13071" width="6.796875" style="3" customWidth="1"/>
    <col min="13072" max="13072" width="8.19921875" style="3" customWidth="1"/>
    <col min="13073" max="13315" width="9.19921875" style="3"/>
    <col min="13316" max="13316" width="13" style="3" customWidth="1"/>
    <col min="13317" max="13317" width="6.796875" style="3" customWidth="1"/>
    <col min="13318" max="13318" width="7" style="3" customWidth="1"/>
    <col min="13319" max="13319" width="6.46484375" style="3" customWidth="1"/>
    <col min="13320" max="13320" width="8.19921875" style="3" customWidth="1"/>
    <col min="13321" max="13321" width="6.53125" style="3" customWidth="1"/>
    <col min="13322" max="13322" width="7.46484375" style="3" customWidth="1"/>
    <col min="13323" max="13323" width="7.19921875" style="3" customWidth="1"/>
    <col min="13324" max="13324" width="8" style="3" customWidth="1"/>
    <col min="13325" max="13325" width="6.19921875" style="3" customWidth="1"/>
    <col min="13326" max="13326" width="7.46484375" style="3" customWidth="1"/>
    <col min="13327" max="13327" width="6.796875" style="3" customWidth="1"/>
    <col min="13328" max="13328" width="8.19921875" style="3" customWidth="1"/>
    <col min="13329" max="13571" width="9.19921875" style="3"/>
    <col min="13572" max="13572" width="13" style="3" customWidth="1"/>
    <col min="13573" max="13573" width="6.796875" style="3" customWidth="1"/>
    <col min="13574" max="13574" width="7" style="3" customWidth="1"/>
    <col min="13575" max="13575" width="6.46484375" style="3" customWidth="1"/>
    <col min="13576" max="13576" width="8.19921875" style="3" customWidth="1"/>
    <col min="13577" max="13577" width="6.53125" style="3" customWidth="1"/>
    <col min="13578" max="13578" width="7.46484375" style="3" customWidth="1"/>
    <col min="13579" max="13579" width="7.19921875" style="3" customWidth="1"/>
    <col min="13580" max="13580" width="8" style="3" customWidth="1"/>
    <col min="13581" max="13581" width="6.19921875" style="3" customWidth="1"/>
    <col min="13582" max="13582" width="7.46484375" style="3" customWidth="1"/>
    <col min="13583" max="13583" width="6.796875" style="3" customWidth="1"/>
    <col min="13584" max="13584" width="8.19921875" style="3" customWidth="1"/>
    <col min="13585" max="13827" width="9.19921875" style="3"/>
    <col min="13828" max="13828" width="13" style="3" customWidth="1"/>
    <col min="13829" max="13829" width="6.796875" style="3" customWidth="1"/>
    <col min="13830" max="13830" width="7" style="3" customWidth="1"/>
    <col min="13831" max="13831" width="6.46484375" style="3" customWidth="1"/>
    <col min="13832" max="13832" width="8.19921875" style="3" customWidth="1"/>
    <col min="13833" max="13833" width="6.53125" style="3" customWidth="1"/>
    <col min="13834" max="13834" width="7.46484375" style="3" customWidth="1"/>
    <col min="13835" max="13835" width="7.19921875" style="3" customWidth="1"/>
    <col min="13836" max="13836" width="8" style="3" customWidth="1"/>
    <col min="13837" max="13837" width="6.19921875" style="3" customWidth="1"/>
    <col min="13838" max="13838" width="7.46484375" style="3" customWidth="1"/>
    <col min="13839" max="13839" width="6.796875" style="3" customWidth="1"/>
    <col min="13840" max="13840" width="8.19921875" style="3" customWidth="1"/>
    <col min="13841" max="14083" width="9.19921875" style="3"/>
    <col min="14084" max="14084" width="13" style="3" customWidth="1"/>
    <col min="14085" max="14085" width="6.796875" style="3" customWidth="1"/>
    <col min="14086" max="14086" width="7" style="3" customWidth="1"/>
    <col min="14087" max="14087" width="6.46484375" style="3" customWidth="1"/>
    <col min="14088" max="14088" width="8.19921875" style="3" customWidth="1"/>
    <col min="14089" max="14089" width="6.53125" style="3" customWidth="1"/>
    <col min="14090" max="14090" width="7.46484375" style="3" customWidth="1"/>
    <col min="14091" max="14091" width="7.19921875" style="3" customWidth="1"/>
    <col min="14092" max="14092" width="8" style="3" customWidth="1"/>
    <col min="14093" max="14093" width="6.19921875" style="3" customWidth="1"/>
    <col min="14094" max="14094" width="7.46484375" style="3" customWidth="1"/>
    <col min="14095" max="14095" width="6.796875" style="3" customWidth="1"/>
    <col min="14096" max="14096" width="8.19921875" style="3" customWidth="1"/>
    <col min="14097" max="14339" width="9.19921875" style="3"/>
    <col min="14340" max="14340" width="13" style="3" customWidth="1"/>
    <col min="14341" max="14341" width="6.796875" style="3" customWidth="1"/>
    <col min="14342" max="14342" width="7" style="3" customWidth="1"/>
    <col min="14343" max="14343" width="6.46484375" style="3" customWidth="1"/>
    <col min="14344" max="14344" width="8.19921875" style="3" customWidth="1"/>
    <col min="14345" max="14345" width="6.53125" style="3" customWidth="1"/>
    <col min="14346" max="14346" width="7.46484375" style="3" customWidth="1"/>
    <col min="14347" max="14347" width="7.19921875" style="3" customWidth="1"/>
    <col min="14348" max="14348" width="8" style="3" customWidth="1"/>
    <col min="14349" max="14349" width="6.19921875" style="3" customWidth="1"/>
    <col min="14350" max="14350" width="7.46484375" style="3" customWidth="1"/>
    <col min="14351" max="14351" width="6.796875" style="3" customWidth="1"/>
    <col min="14352" max="14352" width="8.19921875" style="3" customWidth="1"/>
    <col min="14353" max="14595" width="9.19921875" style="3"/>
    <col min="14596" max="14596" width="13" style="3" customWidth="1"/>
    <col min="14597" max="14597" width="6.796875" style="3" customWidth="1"/>
    <col min="14598" max="14598" width="7" style="3" customWidth="1"/>
    <col min="14599" max="14599" width="6.46484375" style="3" customWidth="1"/>
    <col min="14600" max="14600" width="8.19921875" style="3" customWidth="1"/>
    <col min="14601" max="14601" width="6.53125" style="3" customWidth="1"/>
    <col min="14602" max="14602" width="7.46484375" style="3" customWidth="1"/>
    <col min="14603" max="14603" width="7.19921875" style="3" customWidth="1"/>
    <col min="14604" max="14604" width="8" style="3" customWidth="1"/>
    <col min="14605" max="14605" width="6.19921875" style="3" customWidth="1"/>
    <col min="14606" max="14606" width="7.46484375" style="3" customWidth="1"/>
    <col min="14607" max="14607" width="6.796875" style="3" customWidth="1"/>
    <col min="14608" max="14608" width="8.19921875" style="3" customWidth="1"/>
    <col min="14609" max="14851" width="9.19921875" style="3"/>
    <col min="14852" max="14852" width="13" style="3" customWidth="1"/>
    <col min="14853" max="14853" width="6.796875" style="3" customWidth="1"/>
    <col min="14854" max="14854" width="7" style="3" customWidth="1"/>
    <col min="14855" max="14855" width="6.46484375" style="3" customWidth="1"/>
    <col min="14856" max="14856" width="8.19921875" style="3" customWidth="1"/>
    <col min="14857" max="14857" width="6.53125" style="3" customWidth="1"/>
    <col min="14858" max="14858" width="7.46484375" style="3" customWidth="1"/>
    <col min="14859" max="14859" width="7.19921875" style="3" customWidth="1"/>
    <col min="14860" max="14860" width="8" style="3" customWidth="1"/>
    <col min="14861" max="14861" width="6.19921875" style="3" customWidth="1"/>
    <col min="14862" max="14862" width="7.46484375" style="3" customWidth="1"/>
    <col min="14863" max="14863" width="6.796875" style="3" customWidth="1"/>
    <col min="14864" max="14864" width="8.19921875" style="3" customWidth="1"/>
    <col min="14865" max="15107" width="9.19921875" style="3"/>
    <col min="15108" max="15108" width="13" style="3" customWidth="1"/>
    <col min="15109" max="15109" width="6.796875" style="3" customWidth="1"/>
    <col min="15110" max="15110" width="7" style="3" customWidth="1"/>
    <col min="15111" max="15111" width="6.46484375" style="3" customWidth="1"/>
    <col min="15112" max="15112" width="8.19921875" style="3" customWidth="1"/>
    <col min="15113" max="15113" width="6.53125" style="3" customWidth="1"/>
    <col min="15114" max="15114" width="7.46484375" style="3" customWidth="1"/>
    <col min="15115" max="15115" width="7.19921875" style="3" customWidth="1"/>
    <col min="15116" max="15116" width="8" style="3" customWidth="1"/>
    <col min="15117" max="15117" width="6.19921875" style="3" customWidth="1"/>
    <col min="15118" max="15118" width="7.46484375" style="3" customWidth="1"/>
    <col min="15119" max="15119" width="6.796875" style="3" customWidth="1"/>
    <col min="15120" max="15120" width="8.19921875" style="3" customWidth="1"/>
    <col min="15121" max="15363" width="9.19921875" style="3"/>
    <col min="15364" max="15364" width="13" style="3" customWidth="1"/>
    <col min="15365" max="15365" width="6.796875" style="3" customWidth="1"/>
    <col min="15366" max="15366" width="7" style="3" customWidth="1"/>
    <col min="15367" max="15367" width="6.46484375" style="3" customWidth="1"/>
    <col min="15368" max="15368" width="8.19921875" style="3" customWidth="1"/>
    <col min="15369" max="15369" width="6.53125" style="3" customWidth="1"/>
    <col min="15370" max="15370" width="7.46484375" style="3" customWidth="1"/>
    <col min="15371" max="15371" width="7.19921875" style="3" customWidth="1"/>
    <col min="15372" max="15372" width="8" style="3" customWidth="1"/>
    <col min="15373" max="15373" width="6.19921875" style="3" customWidth="1"/>
    <col min="15374" max="15374" width="7.46484375" style="3" customWidth="1"/>
    <col min="15375" max="15375" width="6.796875" style="3" customWidth="1"/>
    <col min="15376" max="15376" width="8.19921875" style="3" customWidth="1"/>
    <col min="15377" max="15619" width="9.19921875" style="3"/>
    <col min="15620" max="15620" width="13" style="3" customWidth="1"/>
    <col min="15621" max="15621" width="6.796875" style="3" customWidth="1"/>
    <col min="15622" max="15622" width="7" style="3" customWidth="1"/>
    <col min="15623" max="15623" width="6.46484375" style="3" customWidth="1"/>
    <col min="15624" max="15624" width="8.19921875" style="3" customWidth="1"/>
    <col min="15625" max="15625" width="6.53125" style="3" customWidth="1"/>
    <col min="15626" max="15626" width="7.46484375" style="3" customWidth="1"/>
    <col min="15627" max="15627" width="7.19921875" style="3" customWidth="1"/>
    <col min="15628" max="15628" width="8" style="3" customWidth="1"/>
    <col min="15629" max="15629" width="6.19921875" style="3" customWidth="1"/>
    <col min="15630" max="15630" width="7.46484375" style="3" customWidth="1"/>
    <col min="15631" max="15631" width="6.796875" style="3" customWidth="1"/>
    <col min="15632" max="15632" width="8.19921875" style="3" customWidth="1"/>
    <col min="15633" max="15875" width="9.19921875" style="3"/>
    <col min="15876" max="15876" width="13" style="3" customWidth="1"/>
    <col min="15877" max="15877" width="6.796875" style="3" customWidth="1"/>
    <col min="15878" max="15878" width="7" style="3" customWidth="1"/>
    <col min="15879" max="15879" width="6.46484375" style="3" customWidth="1"/>
    <col min="15880" max="15880" width="8.19921875" style="3" customWidth="1"/>
    <col min="15881" max="15881" width="6.53125" style="3" customWidth="1"/>
    <col min="15882" max="15882" width="7.46484375" style="3" customWidth="1"/>
    <col min="15883" max="15883" width="7.19921875" style="3" customWidth="1"/>
    <col min="15884" max="15884" width="8" style="3" customWidth="1"/>
    <col min="15885" max="15885" width="6.19921875" style="3" customWidth="1"/>
    <col min="15886" max="15886" width="7.46484375" style="3" customWidth="1"/>
    <col min="15887" max="15887" width="6.796875" style="3" customWidth="1"/>
    <col min="15888" max="15888" width="8.19921875" style="3" customWidth="1"/>
    <col min="15889" max="16131" width="9.19921875" style="3"/>
    <col min="16132" max="16132" width="13" style="3" customWidth="1"/>
    <col min="16133" max="16133" width="6.796875" style="3" customWidth="1"/>
    <col min="16134" max="16134" width="7" style="3" customWidth="1"/>
    <col min="16135" max="16135" width="6.46484375" style="3" customWidth="1"/>
    <col min="16136" max="16136" width="8.19921875" style="3" customWidth="1"/>
    <col min="16137" max="16137" width="6.53125" style="3" customWidth="1"/>
    <col min="16138" max="16138" width="7.46484375" style="3" customWidth="1"/>
    <col min="16139" max="16139" width="7.19921875" style="3" customWidth="1"/>
    <col min="16140" max="16140" width="8" style="3" customWidth="1"/>
    <col min="16141" max="16141" width="6.19921875" style="3" customWidth="1"/>
    <col min="16142" max="16142" width="7.46484375" style="3" customWidth="1"/>
    <col min="16143" max="16143" width="6.796875" style="3" customWidth="1"/>
    <col min="16144" max="16144" width="8.19921875" style="3" customWidth="1"/>
    <col min="16145" max="16384" width="9.19921875" style="3"/>
  </cols>
  <sheetData>
    <row r="1" spans="1:28">
      <c r="A1" s="1507" t="s">
        <v>1807</v>
      </c>
      <c r="B1" s="1507"/>
      <c r="C1" s="48"/>
    </row>
    <row r="2" spans="1:28">
      <c r="A2" s="1487" t="str">
        <f>+'BS1'!A2</f>
        <v>NIDP DEVELOPERS PRIVATE LIMITED</v>
      </c>
      <c r="B2" s="1487"/>
      <c r="C2" s="1487"/>
      <c r="D2" s="1487"/>
      <c r="E2" s="1487"/>
      <c r="F2" s="1487"/>
      <c r="G2" s="1487"/>
      <c r="H2" s="1487"/>
      <c r="I2" s="1487"/>
      <c r="J2" s="1487"/>
    </row>
    <row r="3" spans="1:28">
      <c r="A3" s="173" t="s">
        <v>330</v>
      </c>
      <c r="B3" s="173"/>
      <c r="C3" s="173"/>
      <c r="D3" s="173"/>
      <c r="E3" s="173"/>
      <c r="F3" s="173"/>
      <c r="G3" s="173"/>
      <c r="H3" s="105"/>
      <c r="I3" s="105"/>
      <c r="J3" s="105"/>
      <c r="K3" s="105"/>
      <c r="L3" s="105"/>
      <c r="M3" s="105"/>
      <c r="N3" s="105"/>
      <c r="O3" s="105"/>
      <c r="P3" s="105"/>
      <c r="Q3" s="105"/>
      <c r="R3" s="105"/>
      <c r="S3" s="105"/>
      <c r="T3" s="105"/>
      <c r="U3" s="105"/>
      <c r="V3" s="105"/>
      <c r="W3" s="105"/>
      <c r="X3" s="105"/>
      <c r="Y3" s="105"/>
      <c r="Z3" s="1582"/>
      <c r="AA3" s="1582"/>
      <c r="AB3" s="1582"/>
    </row>
    <row r="4" spans="1:28">
      <c r="A4" s="34"/>
      <c r="B4" s="34"/>
      <c r="C4" s="34"/>
      <c r="D4" s="34"/>
      <c r="E4" s="34"/>
      <c r="F4" s="34"/>
      <c r="G4" s="34"/>
      <c r="H4" s="34"/>
      <c r="I4" s="34"/>
      <c r="J4" s="34"/>
    </row>
    <row r="5" spans="1:28" ht="15" customHeight="1">
      <c r="A5" s="1847" t="s">
        <v>327</v>
      </c>
      <c r="B5" s="1586" t="s">
        <v>357</v>
      </c>
      <c r="C5" s="1586"/>
      <c r="D5" s="1586"/>
      <c r="E5" s="1568" t="s">
        <v>358</v>
      </c>
      <c r="F5" s="1846"/>
      <c r="G5" s="1846"/>
      <c r="H5" s="1846"/>
      <c r="I5" s="1846"/>
      <c r="J5" s="1569"/>
      <c r="K5" s="1568" t="s">
        <v>344</v>
      </c>
      <c r="L5" s="1846"/>
      <c r="M5" s="1569"/>
      <c r="N5" s="1573" t="s">
        <v>31</v>
      </c>
      <c r="O5" s="1573"/>
      <c r="P5" s="1573"/>
      <c r="Q5" s="1573"/>
      <c r="R5" s="1573"/>
      <c r="S5" s="1573"/>
      <c r="T5" s="1573"/>
      <c r="U5" s="1573"/>
      <c r="V5" s="1573"/>
      <c r="W5" s="1573"/>
      <c r="X5" s="1573"/>
      <c r="Y5" s="1573"/>
      <c r="Z5" s="1573"/>
      <c r="AA5" s="1573"/>
      <c r="AB5" s="1573"/>
    </row>
    <row r="6" spans="1:28" ht="15" customHeight="1">
      <c r="A6" s="1847"/>
      <c r="B6" s="1586" t="s">
        <v>352</v>
      </c>
      <c r="C6" s="1586"/>
      <c r="D6" s="1571"/>
      <c r="E6" s="1570" t="s">
        <v>343</v>
      </c>
      <c r="F6" s="1586"/>
      <c r="G6" s="1586"/>
      <c r="H6" s="1586"/>
      <c r="I6" s="1586"/>
      <c r="J6" s="1571"/>
      <c r="K6" s="1570" t="s">
        <v>1442</v>
      </c>
      <c r="L6" s="1586"/>
      <c r="M6" s="1571"/>
      <c r="N6" s="1570" t="s">
        <v>2024</v>
      </c>
      <c r="O6" s="1586"/>
      <c r="P6" s="1571"/>
      <c r="Q6" s="1570" t="s">
        <v>352</v>
      </c>
      <c r="R6" s="1586"/>
      <c r="S6" s="1571"/>
      <c r="T6" s="1570" t="s">
        <v>352</v>
      </c>
      <c r="U6" s="1586"/>
      <c r="V6" s="1571"/>
      <c r="W6" s="1570" t="s">
        <v>352</v>
      </c>
      <c r="X6" s="1586"/>
      <c r="Y6" s="1571"/>
      <c r="Z6" s="1570" t="s">
        <v>352</v>
      </c>
      <c r="AA6" s="1586"/>
      <c r="AB6" s="1571"/>
    </row>
    <row r="7" spans="1:28">
      <c r="A7" s="1847" t="s">
        <v>327</v>
      </c>
      <c r="B7" s="1586" t="s">
        <v>347</v>
      </c>
      <c r="C7" s="1586"/>
      <c r="D7" s="1571"/>
      <c r="E7" s="1568" t="s">
        <v>337</v>
      </c>
      <c r="F7" s="1846"/>
      <c r="G7" s="1569"/>
      <c r="H7" s="1568" t="s">
        <v>338</v>
      </c>
      <c r="I7" s="1846"/>
      <c r="J7" s="1569"/>
      <c r="K7" s="1568" t="s">
        <v>346</v>
      </c>
      <c r="L7" s="1846"/>
      <c r="M7" s="1569"/>
      <c r="N7" s="1573" t="s">
        <v>183</v>
      </c>
      <c r="O7" s="1573"/>
      <c r="P7" s="1573"/>
      <c r="Q7" s="1573" t="s">
        <v>183</v>
      </c>
      <c r="R7" s="1573"/>
      <c r="S7" s="1573"/>
      <c r="T7" s="1573" t="s">
        <v>183</v>
      </c>
      <c r="U7" s="1573"/>
      <c r="V7" s="1573"/>
      <c r="W7" s="1573" t="s">
        <v>183</v>
      </c>
      <c r="X7" s="1573"/>
      <c r="Y7" s="1573"/>
      <c r="Z7" s="1573" t="s">
        <v>183</v>
      </c>
      <c r="AA7" s="1573"/>
      <c r="AB7" s="1573"/>
    </row>
    <row r="8" spans="1:28" ht="42.75">
      <c r="A8" s="1847"/>
      <c r="B8" s="154" t="s">
        <v>328</v>
      </c>
      <c r="C8" s="154" t="s">
        <v>615</v>
      </c>
      <c r="D8" s="146" t="s">
        <v>329</v>
      </c>
      <c r="E8" s="146" t="s">
        <v>328</v>
      </c>
      <c r="F8" s="154" t="s">
        <v>615</v>
      </c>
      <c r="G8" s="146" t="s">
        <v>329</v>
      </c>
      <c r="H8" s="146" t="s">
        <v>328</v>
      </c>
      <c r="I8" s="154" t="s">
        <v>615</v>
      </c>
      <c r="J8" s="146" t="s">
        <v>329</v>
      </c>
      <c r="K8" s="146" t="s">
        <v>328</v>
      </c>
      <c r="L8" s="154" t="s">
        <v>615</v>
      </c>
      <c r="M8" s="146" t="s">
        <v>329</v>
      </c>
      <c r="N8" s="146" t="s">
        <v>328</v>
      </c>
      <c r="O8" s="154" t="s">
        <v>615</v>
      </c>
      <c r="P8" s="146" t="s">
        <v>329</v>
      </c>
      <c r="Q8" s="146" t="s">
        <v>328</v>
      </c>
      <c r="R8" s="154" t="s">
        <v>615</v>
      </c>
      <c r="S8" s="146" t="s">
        <v>329</v>
      </c>
      <c r="T8" s="146" t="s">
        <v>328</v>
      </c>
      <c r="U8" s="154" t="s">
        <v>615</v>
      </c>
      <c r="V8" s="146" t="s">
        <v>329</v>
      </c>
      <c r="W8" s="146" t="s">
        <v>328</v>
      </c>
      <c r="X8" s="154" t="s">
        <v>615</v>
      </c>
      <c r="Y8" s="146" t="s">
        <v>329</v>
      </c>
      <c r="Z8" s="146" t="s">
        <v>328</v>
      </c>
      <c r="AA8" s="154" t="s">
        <v>615</v>
      </c>
      <c r="AB8" s="146" t="s">
        <v>329</v>
      </c>
    </row>
    <row r="9" spans="1:28">
      <c r="A9" s="164" t="s">
        <v>166</v>
      </c>
      <c r="B9" s="1848" t="s">
        <v>2062</v>
      </c>
      <c r="C9" s="1849"/>
      <c r="D9" s="1849"/>
      <c r="E9" s="1849"/>
      <c r="F9" s="1849"/>
      <c r="G9" s="1850"/>
      <c r="H9" s="799">
        <v>0</v>
      </c>
      <c r="I9" s="799">
        <v>0</v>
      </c>
      <c r="J9" s="799">
        <v>4</v>
      </c>
      <c r="K9" s="799">
        <v>0</v>
      </c>
      <c r="L9" s="799">
        <v>0</v>
      </c>
      <c r="M9" s="799">
        <f t="array" ref="M9:M20">TRANSPOSE([3]Data!$P$73:$AA$73)</f>
        <v>5</v>
      </c>
      <c r="N9" s="799">
        <v>0</v>
      </c>
      <c r="O9" s="799">
        <v>0</v>
      </c>
      <c r="P9" s="799">
        <f t="array" ref="P9:P20">TRANSPOSE([3]Data!$AB$79:$AM$79)</f>
        <v>11</v>
      </c>
      <c r="Q9" s="7"/>
      <c r="R9" s="7"/>
      <c r="S9" s="137"/>
      <c r="T9" s="7"/>
      <c r="U9" s="7"/>
      <c r="V9" s="137"/>
      <c r="W9" s="7"/>
      <c r="X9" s="7"/>
      <c r="Y9" s="137"/>
      <c r="Z9" s="7"/>
      <c r="AA9" s="7"/>
      <c r="AB9" s="137"/>
    </row>
    <row r="10" spans="1:28">
      <c r="A10" s="139" t="s">
        <v>167</v>
      </c>
      <c r="B10" s="1851"/>
      <c r="C10" s="1852"/>
      <c r="D10" s="1852"/>
      <c r="E10" s="1852"/>
      <c r="F10" s="1852"/>
      <c r="G10" s="1853"/>
      <c r="H10" s="799">
        <v>0</v>
      </c>
      <c r="I10" s="799">
        <v>0</v>
      </c>
      <c r="J10" s="799">
        <v>4</v>
      </c>
      <c r="K10" s="799">
        <v>0</v>
      </c>
      <c r="L10" s="799">
        <v>0</v>
      </c>
      <c r="M10" s="799">
        <v>5.989784543010753</v>
      </c>
      <c r="N10" s="799">
        <v>0</v>
      </c>
      <c r="O10" s="799">
        <v>0</v>
      </c>
      <c r="P10" s="799">
        <v>11</v>
      </c>
      <c r="Q10" s="7"/>
      <c r="R10" s="7"/>
      <c r="S10" s="137"/>
      <c r="T10" s="7"/>
      <c r="U10" s="7"/>
      <c r="V10" s="137"/>
      <c r="W10" s="7"/>
      <c r="X10" s="7"/>
      <c r="Y10" s="137"/>
      <c r="Z10" s="7"/>
      <c r="AA10" s="7"/>
      <c r="AB10" s="137"/>
    </row>
    <row r="11" spans="1:28">
      <c r="A11" s="139" t="s">
        <v>168</v>
      </c>
      <c r="B11" s="1851"/>
      <c r="C11" s="1852"/>
      <c r="D11" s="1852"/>
      <c r="E11" s="1852"/>
      <c r="F11" s="1852"/>
      <c r="G11" s="1853"/>
      <c r="H11" s="799">
        <v>0</v>
      </c>
      <c r="I11" s="799">
        <v>0</v>
      </c>
      <c r="J11" s="799">
        <v>5</v>
      </c>
      <c r="K11" s="799">
        <v>0</v>
      </c>
      <c r="L11" s="799">
        <v>0</v>
      </c>
      <c r="M11" s="799">
        <v>6.2263927777777779</v>
      </c>
      <c r="N11" s="799">
        <v>0</v>
      </c>
      <c r="O11" s="799">
        <v>0</v>
      </c>
      <c r="P11" s="799">
        <v>11</v>
      </c>
      <c r="Q11" s="7"/>
      <c r="R11" s="7"/>
      <c r="S11" s="137"/>
      <c r="T11" s="7"/>
      <c r="U11" s="7"/>
      <c r="V11" s="137"/>
      <c r="W11" s="7"/>
      <c r="X11" s="7"/>
      <c r="Y11" s="137"/>
      <c r="Z11" s="7"/>
      <c r="AA11" s="7"/>
      <c r="AB11" s="137"/>
    </row>
    <row r="12" spans="1:28">
      <c r="A12" s="139" t="s">
        <v>169</v>
      </c>
      <c r="B12" s="1851"/>
      <c r="C12" s="1852"/>
      <c r="D12" s="1852"/>
      <c r="E12" s="1852"/>
      <c r="F12" s="1852"/>
      <c r="G12" s="1853"/>
      <c r="H12" s="799">
        <v>0</v>
      </c>
      <c r="I12" s="799">
        <v>0</v>
      </c>
      <c r="J12" s="799">
        <v>5</v>
      </c>
      <c r="K12" s="799">
        <v>0</v>
      </c>
      <c r="L12" s="799">
        <v>0</v>
      </c>
      <c r="M12" s="799">
        <v>6.3097206317204302</v>
      </c>
      <c r="N12" s="799">
        <v>0</v>
      </c>
      <c r="O12" s="799">
        <v>0</v>
      </c>
      <c r="P12" s="799">
        <v>12</v>
      </c>
      <c r="Q12" s="7"/>
      <c r="R12" s="7"/>
      <c r="S12" s="137"/>
      <c r="T12" s="7"/>
      <c r="U12" s="7"/>
      <c r="V12" s="137"/>
      <c r="W12" s="7"/>
      <c r="X12" s="7"/>
      <c r="Y12" s="137"/>
      <c r="Z12" s="7"/>
      <c r="AA12" s="7"/>
      <c r="AB12" s="137"/>
    </row>
    <row r="13" spans="1:28">
      <c r="A13" s="139" t="s">
        <v>170</v>
      </c>
      <c r="B13" s="1851"/>
      <c r="C13" s="1852"/>
      <c r="D13" s="1852"/>
      <c r="E13" s="1852"/>
      <c r="F13" s="1852"/>
      <c r="G13" s="1853"/>
      <c r="H13" s="799">
        <v>0</v>
      </c>
      <c r="I13" s="799">
        <v>0</v>
      </c>
      <c r="J13" s="799">
        <v>6</v>
      </c>
      <c r="K13" s="799">
        <v>0</v>
      </c>
      <c r="L13" s="799">
        <v>0</v>
      </c>
      <c r="M13" s="799">
        <v>6.551437365591398</v>
      </c>
      <c r="N13" s="799">
        <v>0</v>
      </c>
      <c r="O13" s="799">
        <v>0</v>
      </c>
      <c r="P13" s="799">
        <v>12</v>
      </c>
      <c r="Q13" s="7"/>
      <c r="R13" s="7"/>
      <c r="S13" s="137"/>
      <c r="T13" s="7"/>
      <c r="U13" s="7"/>
      <c r="V13" s="137"/>
      <c r="W13" s="7"/>
      <c r="X13" s="7"/>
      <c r="Y13" s="137"/>
      <c r="Z13" s="7"/>
      <c r="AA13" s="7"/>
      <c r="AB13" s="137"/>
    </row>
    <row r="14" spans="1:28">
      <c r="A14" s="139" t="s">
        <v>171</v>
      </c>
      <c r="B14" s="1851"/>
      <c r="C14" s="1852"/>
      <c r="D14" s="1852"/>
      <c r="E14" s="1852"/>
      <c r="F14" s="1852"/>
      <c r="G14" s="1853"/>
      <c r="H14" s="799">
        <v>0</v>
      </c>
      <c r="I14" s="799">
        <v>0</v>
      </c>
      <c r="J14" s="799">
        <v>6</v>
      </c>
      <c r="K14" s="799">
        <v>0</v>
      </c>
      <c r="L14" s="799">
        <v>0</v>
      </c>
      <c r="M14" s="799">
        <v>6.8847208333333336</v>
      </c>
      <c r="N14" s="799">
        <v>0</v>
      </c>
      <c r="O14" s="799">
        <v>0</v>
      </c>
      <c r="P14" s="799">
        <v>12</v>
      </c>
      <c r="Q14" s="7"/>
      <c r="R14" s="7"/>
      <c r="S14" s="137"/>
      <c r="T14" s="7"/>
      <c r="U14" s="7"/>
      <c r="V14" s="137"/>
      <c r="W14" s="7"/>
      <c r="X14" s="7"/>
      <c r="Y14" s="137"/>
      <c r="Z14" s="7"/>
      <c r="AA14" s="7"/>
      <c r="AB14" s="137"/>
    </row>
    <row r="15" spans="1:28">
      <c r="A15" s="139" t="s">
        <v>176</v>
      </c>
      <c r="B15" s="1851"/>
      <c r="C15" s="1852"/>
      <c r="D15" s="1852"/>
      <c r="E15" s="1852"/>
      <c r="F15" s="1852"/>
      <c r="G15" s="1853"/>
      <c r="H15" s="799">
        <v>0</v>
      </c>
      <c r="I15" s="799">
        <v>0</v>
      </c>
      <c r="J15" s="799">
        <v>6</v>
      </c>
      <c r="K15" s="799">
        <v>0</v>
      </c>
      <c r="L15" s="799">
        <v>0</v>
      </c>
      <c r="M15" s="799">
        <v>6.813519982433939</v>
      </c>
      <c r="N15" s="799">
        <v>0</v>
      </c>
      <c r="O15" s="799">
        <v>0</v>
      </c>
      <c r="P15" s="799">
        <v>13</v>
      </c>
      <c r="Q15" s="7"/>
      <c r="R15" s="7"/>
      <c r="S15" s="137"/>
      <c r="T15" s="7"/>
      <c r="U15" s="7"/>
      <c r="V15" s="137"/>
      <c r="W15" s="7"/>
      <c r="X15" s="7"/>
      <c r="Y15" s="137"/>
      <c r="Z15" s="7"/>
      <c r="AA15" s="7"/>
      <c r="AB15" s="137"/>
    </row>
    <row r="16" spans="1:28">
      <c r="A16" s="139" t="s">
        <v>172</v>
      </c>
      <c r="B16" s="1851"/>
      <c r="C16" s="1852"/>
      <c r="D16" s="1852"/>
      <c r="E16" s="1852"/>
      <c r="F16" s="1852"/>
      <c r="G16" s="1853"/>
      <c r="H16" s="799">
        <v>0</v>
      </c>
      <c r="I16" s="799">
        <v>0</v>
      </c>
      <c r="J16" s="799">
        <v>5</v>
      </c>
      <c r="K16" s="799">
        <v>0</v>
      </c>
      <c r="L16" s="799">
        <v>0</v>
      </c>
      <c r="M16" s="799">
        <v>6</v>
      </c>
      <c r="N16" s="799">
        <v>0</v>
      </c>
      <c r="O16" s="799">
        <v>0</v>
      </c>
      <c r="P16" s="799">
        <v>13</v>
      </c>
      <c r="Q16" s="7"/>
      <c r="R16" s="7"/>
      <c r="S16" s="137"/>
      <c r="T16" s="7"/>
      <c r="U16" s="7"/>
      <c r="V16" s="137"/>
      <c r="W16" s="7"/>
      <c r="X16" s="7"/>
      <c r="Y16" s="137"/>
      <c r="Z16" s="7"/>
      <c r="AA16" s="7"/>
      <c r="AB16" s="137"/>
    </row>
    <row r="17" spans="1:28">
      <c r="A17" s="139" t="s">
        <v>173</v>
      </c>
      <c r="B17" s="1851"/>
      <c r="C17" s="1852"/>
      <c r="D17" s="1852"/>
      <c r="E17" s="1852"/>
      <c r="F17" s="1852"/>
      <c r="G17" s="1853"/>
      <c r="H17" s="799">
        <v>0</v>
      </c>
      <c r="I17" s="799">
        <v>0</v>
      </c>
      <c r="J17" s="799">
        <v>5</v>
      </c>
      <c r="K17" s="799">
        <v>0</v>
      </c>
      <c r="L17" s="799">
        <v>0</v>
      </c>
      <c r="M17" s="799">
        <v>6</v>
      </c>
      <c r="N17" s="799">
        <v>0</v>
      </c>
      <c r="O17" s="799">
        <v>0</v>
      </c>
      <c r="P17" s="799">
        <v>13</v>
      </c>
      <c r="Q17" s="7"/>
      <c r="R17" s="7"/>
      <c r="S17" s="137"/>
      <c r="T17" s="7"/>
      <c r="U17" s="7"/>
      <c r="V17" s="137"/>
      <c r="W17" s="7"/>
      <c r="X17" s="7"/>
      <c r="Y17" s="137"/>
      <c r="Z17" s="7"/>
      <c r="AA17" s="7"/>
      <c r="AB17" s="137"/>
    </row>
    <row r="18" spans="1:28">
      <c r="A18" s="139" t="s">
        <v>175</v>
      </c>
      <c r="B18" s="1851"/>
      <c r="C18" s="1852"/>
      <c r="D18" s="1852"/>
      <c r="E18" s="1852"/>
      <c r="F18" s="1852"/>
      <c r="G18" s="1853"/>
      <c r="H18" s="799">
        <v>0</v>
      </c>
      <c r="I18" s="799">
        <v>0</v>
      </c>
      <c r="J18" s="799">
        <v>5</v>
      </c>
      <c r="K18" s="799">
        <v>0</v>
      </c>
      <c r="L18" s="799">
        <v>0</v>
      </c>
      <c r="M18" s="799">
        <v>6</v>
      </c>
      <c r="N18" s="799">
        <v>0</v>
      </c>
      <c r="O18" s="799">
        <v>0</v>
      </c>
      <c r="P18" s="799">
        <v>15</v>
      </c>
      <c r="Q18" s="7"/>
      <c r="R18" s="7"/>
      <c r="S18" s="137"/>
      <c r="T18" s="7"/>
      <c r="U18" s="7"/>
      <c r="V18" s="137"/>
      <c r="W18" s="7"/>
      <c r="X18" s="7"/>
      <c r="Y18" s="137"/>
      <c r="Z18" s="7"/>
      <c r="AA18" s="7"/>
      <c r="AB18" s="137"/>
    </row>
    <row r="19" spans="1:28">
      <c r="A19" s="139" t="s">
        <v>174</v>
      </c>
      <c r="B19" s="1851"/>
      <c r="C19" s="1852"/>
      <c r="D19" s="1852"/>
      <c r="E19" s="1852"/>
      <c r="F19" s="1852"/>
      <c r="G19" s="1853"/>
      <c r="H19" s="799">
        <v>0</v>
      </c>
      <c r="I19" s="799">
        <v>0</v>
      </c>
      <c r="J19" s="799">
        <v>5</v>
      </c>
      <c r="K19" s="799">
        <v>0</v>
      </c>
      <c r="L19" s="799">
        <v>0</v>
      </c>
      <c r="M19" s="799">
        <v>6</v>
      </c>
      <c r="N19" s="799">
        <v>0</v>
      </c>
      <c r="O19" s="799">
        <v>0</v>
      </c>
      <c r="P19" s="799">
        <v>15</v>
      </c>
      <c r="Q19" s="7"/>
      <c r="R19" s="7"/>
      <c r="S19" s="137"/>
      <c r="T19" s="7"/>
      <c r="U19" s="7"/>
      <c r="V19" s="137"/>
      <c r="W19" s="7"/>
      <c r="X19" s="7"/>
      <c r="Y19" s="137"/>
      <c r="Z19" s="7"/>
      <c r="AA19" s="7"/>
      <c r="AB19" s="137"/>
    </row>
    <row r="20" spans="1:28">
      <c r="A20" s="139" t="s">
        <v>177</v>
      </c>
      <c r="B20" s="1854"/>
      <c r="C20" s="1855"/>
      <c r="D20" s="1855"/>
      <c r="E20" s="1855"/>
      <c r="F20" s="1855"/>
      <c r="G20" s="1856"/>
      <c r="H20" s="799">
        <v>0</v>
      </c>
      <c r="I20" s="799">
        <v>0</v>
      </c>
      <c r="J20" s="799">
        <v>5</v>
      </c>
      <c r="K20" s="799">
        <v>0</v>
      </c>
      <c r="L20" s="799">
        <v>0</v>
      </c>
      <c r="M20" s="799">
        <v>6</v>
      </c>
      <c r="N20" s="799">
        <v>0</v>
      </c>
      <c r="O20" s="799">
        <v>0</v>
      </c>
      <c r="P20" s="799">
        <v>15</v>
      </c>
      <c r="Q20" s="7"/>
      <c r="R20" s="7"/>
      <c r="S20" s="137"/>
      <c r="T20" s="7"/>
      <c r="U20" s="7"/>
      <c r="V20" s="137"/>
      <c r="W20" s="7"/>
      <c r="X20" s="7"/>
      <c r="Y20" s="137"/>
      <c r="Z20" s="7"/>
      <c r="AA20" s="7"/>
      <c r="AB20" s="137"/>
    </row>
    <row r="21" spans="1:28">
      <c r="A21" s="163" t="s">
        <v>18</v>
      </c>
      <c r="B21" s="162"/>
      <c r="C21" s="162"/>
      <c r="D21" s="162"/>
      <c r="E21" s="162"/>
      <c r="F21" s="162"/>
      <c r="G21" s="162"/>
      <c r="H21" s="132"/>
      <c r="I21" s="132"/>
      <c r="J21" s="132">
        <f>AVERAGE(J9:J20)</f>
        <v>5.083333333333333</v>
      </c>
      <c r="K21" s="132"/>
      <c r="L21" s="132"/>
      <c r="M21" s="132">
        <f>AVERAGE(M9:M20)</f>
        <v>6.1479646778223023</v>
      </c>
      <c r="N21" s="132"/>
      <c r="O21" s="132"/>
      <c r="P21" s="132">
        <f>AVERAGE(P9:P20)</f>
        <v>12.75</v>
      </c>
      <c r="Q21" s="162"/>
      <c r="R21" s="162"/>
      <c r="S21" s="162"/>
      <c r="T21" s="162"/>
      <c r="U21" s="162"/>
      <c r="V21" s="162"/>
      <c r="W21" s="162"/>
      <c r="X21" s="162"/>
      <c r="Y21" s="162"/>
      <c r="Z21" s="162"/>
      <c r="AA21" s="162"/>
      <c r="AB21" s="162"/>
    </row>
    <row r="22" spans="1:28">
      <c r="B22" s="20"/>
      <c r="C22" s="20"/>
      <c r="D22" s="20"/>
      <c r="E22" s="20"/>
      <c r="F22" s="20"/>
      <c r="H22" s="20"/>
      <c r="I22" s="20"/>
    </row>
    <row r="24" spans="1:28">
      <c r="H24" s="1671"/>
      <c r="I24" s="1671"/>
      <c r="J24" s="1671"/>
    </row>
    <row r="25" spans="1:28">
      <c r="H25" s="20"/>
      <c r="I25" s="20"/>
      <c r="J25" s="20"/>
    </row>
    <row r="26" spans="1:28">
      <c r="E26" s="130"/>
      <c r="F26" s="130"/>
    </row>
    <row r="27" spans="1:28">
      <c r="H27" s="138"/>
      <c r="I27" s="138"/>
    </row>
  </sheetData>
  <mergeCells count="27">
    <mergeCell ref="A1:B1"/>
    <mergeCell ref="Z7:AB7"/>
    <mergeCell ref="Z3:AB3"/>
    <mergeCell ref="K7:M7"/>
    <mergeCell ref="N7:P7"/>
    <mergeCell ref="Q7:S7"/>
    <mergeCell ref="T7:V7"/>
    <mergeCell ref="W7:Y7"/>
    <mergeCell ref="K5:M5"/>
    <mergeCell ref="N5:AB5"/>
    <mergeCell ref="K6:M6"/>
    <mergeCell ref="N6:P6"/>
    <mergeCell ref="Q6:S6"/>
    <mergeCell ref="T6:V6"/>
    <mergeCell ref="W6:Y6"/>
    <mergeCell ref="Z6:AB6"/>
    <mergeCell ref="H24:J24"/>
    <mergeCell ref="B7:D7"/>
    <mergeCell ref="E7:G7"/>
    <mergeCell ref="A2:J2"/>
    <mergeCell ref="H7:J7"/>
    <mergeCell ref="A5:A8"/>
    <mergeCell ref="B5:D5"/>
    <mergeCell ref="E5:J5"/>
    <mergeCell ref="B6:D6"/>
    <mergeCell ref="E6:J6"/>
    <mergeCell ref="B9:G20"/>
  </mergeCells>
  <printOptions horizontalCentered="1"/>
  <pageMargins left="0.70866141732283472" right="0.70866141732283472" top="0.74803149606299213" bottom="0.74803149606299213" header="0.31496062992125984" footer="0.31496062992125984"/>
  <pageSetup paperSize="5" scale="12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FF"/>
    <pageSetUpPr fitToPage="1"/>
  </sheetPr>
  <dimension ref="A1:G52"/>
  <sheetViews>
    <sheetView showGridLines="0" zoomScale="85" zoomScaleNormal="85" zoomScaleSheetLayoutView="100" workbookViewId="0">
      <pane xSplit="1" ySplit="6" topLeftCell="B7" activePane="bottomRight" state="frozen"/>
      <selection activeCell="T96" sqref="T96"/>
      <selection pane="topRight" activeCell="T96" sqref="T96"/>
      <selection pane="bottomLeft" activeCell="T96" sqref="T96"/>
      <selection pane="bottomRight" activeCell="D23" sqref="D23"/>
    </sheetView>
  </sheetViews>
  <sheetFormatPr defaultRowHeight="14.25"/>
  <cols>
    <col min="1" max="1" width="5.19921875" style="213" customWidth="1"/>
    <col min="2" max="2" width="58.796875" style="213" customWidth="1"/>
    <col min="3" max="3" width="17.796875" style="692" customWidth="1"/>
    <col min="4" max="4" width="21.19921875" style="213" customWidth="1"/>
    <col min="5" max="251" width="9.19921875" style="213"/>
    <col min="252" max="252" width="41.796875" style="213" customWidth="1"/>
    <col min="253" max="254" width="9.19921875" style="213"/>
    <col min="255" max="255" width="14.796875" style="213" customWidth="1"/>
    <col min="256" max="507" width="9.19921875" style="213"/>
    <col min="508" max="508" width="41.796875" style="213" customWidth="1"/>
    <col min="509" max="510" width="9.19921875" style="213"/>
    <col min="511" max="511" width="14.796875" style="213" customWidth="1"/>
    <col min="512" max="763" width="9.19921875" style="213"/>
    <col min="764" max="764" width="41.796875" style="213" customWidth="1"/>
    <col min="765" max="766" width="9.19921875" style="213"/>
    <col min="767" max="767" width="14.796875" style="213" customWidth="1"/>
    <col min="768" max="1019" width="9.19921875" style="213"/>
    <col min="1020" max="1020" width="41.796875" style="213" customWidth="1"/>
    <col min="1021" max="1022" width="9.19921875" style="213"/>
    <col min="1023" max="1023" width="14.796875" style="213" customWidth="1"/>
    <col min="1024" max="1275" width="9.19921875" style="213"/>
    <col min="1276" max="1276" width="41.796875" style="213" customWidth="1"/>
    <col min="1277" max="1278" width="9.19921875" style="213"/>
    <col min="1279" max="1279" width="14.796875" style="213" customWidth="1"/>
    <col min="1280" max="1531" width="9.19921875" style="213"/>
    <col min="1532" max="1532" width="41.796875" style="213" customWidth="1"/>
    <col min="1533" max="1534" width="9.19921875" style="213"/>
    <col min="1535" max="1535" width="14.796875" style="213" customWidth="1"/>
    <col min="1536" max="1787" width="9.19921875" style="213"/>
    <col min="1788" max="1788" width="41.796875" style="213" customWidth="1"/>
    <col min="1789" max="1790" width="9.19921875" style="213"/>
    <col min="1791" max="1791" width="14.796875" style="213" customWidth="1"/>
    <col min="1792" max="2043" width="9.19921875" style="213"/>
    <col min="2044" max="2044" width="41.796875" style="213" customWidth="1"/>
    <col min="2045" max="2046" width="9.19921875" style="213"/>
    <col min="2047" max="2047" width="14.796875" style="213" customWidth="1"/>
    <col min="2048" max="2299" width="9.19921875" style="213"/>
    <col min="2300" max="2300" width="41.796875" style="213" customWidth="1"/>
    <col min="2301" max="2302" width="9.19921875" style="213"/>
    <col min="2303" max="2303" width="14.796875" style="213" customWidth="1"/>
    <col min="2304" max="2555" width="9.19921875" style="213"/>
    <col min="2556" max="2556" width="41.796875" style="213" customWidth="1"/>
    <col min="2557" max="2558" width="9.19921875" style="213"/>
    <col min="2559" max="2559" width="14.796875" style="213" customWidth="1"/>
    <col min="2560" max="2811" width="9.19921875" style="213"/>
    <col min="2812" max="2812" width="41.796875" style="213" customWidth="1"/>
    <col min="2813" max="2814" width="9.19921875" style="213"/>
    <col min="2815" max="2815" width="14.796875" style="213" customWidth="1"/>
    <col min="2816" max="3067" width="9.19921875" style="213"/>
    <col min="3068" max="3068" width="41.796875" style="213" customWidth="1"/>
    <col min="3069" max="3070" width="9.19921875" style="213"/>
    <col min="3071" max="3071" width="14.796875" style="213" customWidth="1"/>
    <col min="3072" max="3323" width="9.19921875" style="213"/>
    <col min="3324" max="3324" width="41.796875" style="213" customWidth="1"/>
    <col min="3325" max="3326" width="9.19921875" style="213"/>
    <col min="3327" max="3327" width="14.796875" style="213" customWidth="1"/>
    <col min="3328" max="3579" width="9.19921875" style="213"/>
    <col min="3580" max="3580" width="41.796875" style="213" customWidth="1"/>
    <col min="3581" max="3582" width="9.19921875" style="213"/>
    <col min="3583" max="3583" width="14.796875" style="213" customWidth="1"/>
    <col min="3584" max="3835" width="9.19921875" style="213"/>
    <col min="3836" max="3836" width="41.796875" style="213" customWidth="1"/>
    <col min="3837" max="3838" width="9.19921875" style="213"/>
    <col min="3839" max="3839" width="14.796875" style="213" customWidth="1"/>
    <col min="3840" max="4091" width="9.19921875" style="213"/>
    <col min="4092" max="4092" width="41.796875" style="213" customWidth="1"/>
    <col min="4093" max="4094" width="9.19921875" style="213"/>
    <col min="4095" max="4095" width="14.796875" style="213" customWidth="1"/>
    <col min="4096" max="4347" width="9.19921875" style="213"/>
    <col min="4348" max="4348" width="41.796875" style="213" customWidth="1"/>
    <col min="4349" max="4350" width="9.19921875" style="213"/>
    <col min="4351" max="4351" width="14.796875" style="213" customWidth="1"/>
    <col min="4352" max="4603" width="9.19921875" style="213"/>
    <col min="4604" max="4604" width="41.796875" style="213" customWidth="1"/>
    <col min="4605" max="4606" width="9.19921875" style="213"/>
    <col min="4607" max="4607" width="14.796875" style="213" customWidth="1"/>
    <col min="4608" max="4859" width="9.19921875" style="213"/>
    <col min="4860" max="4860" width="41.796875" style="213" customWidth="1"/>
    <col min="4861" max="4862" width="9.19921875" style="213"/>
    <col min="4863" max="4863" width="14.796875" style="213" customWidth="1"/>
    <col min="4864" max="5115" width="9.19921875" style="213"/>
    <col min="5116" max="5116" width="41.796875" style="213" customWidth="1"/>
    <col min="5117" max="5118" width="9.19921875" style="213"/>
    <col min="5119" max="5119" width="14.796875" style="213" customWidth="1"/>
    <col min="5120" max="5371" width="9.19921875" style="213"/>
    <col min="5372" max="5372" width="41.796875" style="213" customWidth="1"/>
    <col min="5373" max="5374" width="9.19921875" style="213"/>
    <col min="5375" max="5375" width="14.796875" style="213" customWidth="1"/>
    <col min="5376" max="5627" width="9.19921875" style="213"/>
    <col min="5628" max="5628" width="41.796875" style="213" customWidth="1"/>
    <col min="5629" max="5630" width="9.19921875" style="213"/>
    <col min="5631" max="5631" width="14.796875" style="213" customWidth="1"/>
    <col min="5632" max="5883" width="9.19921875" style="213"/>
    <col min="5884" max="5884" width="41.796875" style="213" customWidth="1"/>
    <col min="5885" max="5886" width="9.19921875" style="213"/>
    <col min="5887" max="5887" width="14.796875" style="213" customWidth="1"/>
    <col min="5888" max="6139" width="9.19921875" style="213"/>
    <col min="6140" max="6140" width="41.796875" style="213" customWidth="1"/>
    <col min="6141" max="6142" width="9.19921875" style="213"/>
    <col min="6143" max="6143" width="14.796875" style="213" customWidth="1"/>
    <col min="6144" max="6395" width="9.19921875" style="213"/>
    <col min="6396" max="6396" width="41.796875" style="213" customWidth="1"/>
    <col min="6397" max="6398" width="9.19921875" style="213"/>
    <col min="6399" max="6399" width="14.796875" style="213" customWidth="1"/>
    <col min="6400" max="6651" width="9.19921875" style="213"/>
    <col min="6652" max="6652" width="41.796875" style="213" customWidth="1"/>
    <col min="6653" max="6654" width="9.19921875" style="213"/>
    <col min="6655" max="6655" width="14.796875" style="213" customWidth="1"/>
    <col min="6656" max="6907" width="9.19921875" style="213"/>
    <col min="6908" max="6908" width="41.796875" style="213" customWidth="1"/>
    <col min="6909" max="6910" width="9.19921875" style="213"/>
    <col min="6911" max="6911" width="14.796875" style="213" customWidth="1"/>
    <col min="6912" max="7163" width="9.19921875" style="213"/>
    <col min="7164" max="7164" width="41.796875" style="213" customWidth="1"/>
    <col min="7165" max="7166" width="9.19921875" style="213"/>
    <col min="7167" max="7167" width="14.796875" style="213" customWidth="1"/>
    <col min="7168" max="7419" width="9.19921875" style="213"/>
    <col min="7420" max="7420" width="41.796875" style="213" customWidth="1"/>
    <col min="7421" max="7422" width="9.19921875" style="213"/>
    <col min="7423" max="7423" width="14.796875" style="213" customWidth="1"/>
    <col min="7424" max="7675" width="9.19921875" style="213"/>
    <col min="7676" max="7676" width="41.796875" style="213" customWidth="1"/>
    <col min="7677" max="7678" width="9.19921875" style="213"/>
    <col min="7679" max="7679" width="14.796875" style="213" customWidth="1"/>
    <col min="7680" max="7931" width="9.19921875" style="213"/>
    <col min="7932" max="7932" width="41.796875" style="213" customWidth="1"/>
    <col min="7933" max="7934" width="9.19921875" style="213"/>
    <col min="7935" max="7935" width="14.796875" style="213" customWidth="1"/>
    <col min="7936" max="8187" width="9.19921875" style="213"/>
    <col min="8188" max="8188" width="41.796875" style="213" customWidth="1"/>
    <col min="8189" max="8190" width="9.19921875" style="213"/>
    <col min="8191" max="8191" width="14.796875" style="213" customWidth="1"/>
    <col min="8192" max="8443" width="9.19921875" style="213"/>
    <col min="8444" max="8444" width="41.796875" style="213" customWidth="1"/>
    <col min="8445" max="8446" width="9.19921875" style="213"/>
    <col min="8447" max="8447" width="14.796875" style="213" customWidth="1"/>
    <col min="8448" max="8699" width="9.19921875" style="213"/>
    <col min="8700" max="8700" width="41.796875" style="213" customWidth="1"/>
    <col min="8701" max="8702" width="9.19921875" style="213"/>
    <col min="8703" max="8703" width="14.796875" style="213" customWidth="1"/>
    <col min="8704" max="8955" width="9.19921875" style="213"/>
    <col min="8956" max="8956" width="41.796875" style="213" customWidth="1"/>
    <col min="8957" max="8958" width="9.19921875" style="213"/>
    <col min="8959" max="8959" width="14.796875" style="213" customWidth="1"/>
    <col min="8960" max="9211" width="9.19921875" style="213"/>
    <col min="9212" max="9212" width="41.796875" style="213" customWidth="1"/>
    <col min="9213" max="9214" width="9.19921875" style="213"/>
    <col min="9215" max="9215" width="14.796875" style="213" customWidth="1"/>
    <col min="9216" max="9467" width="9.19921875" style="213"/>
    <col min="9468" max="9468" width="41.796875" style="213" customWidth="1"/>
    <col min="9469" max="9470" width="9.19921875" style="213"/>
    <col min="9471" max="9471" width="14.796875" style="213" customWidth="1"/>
    <col min="9472" max="9723" width="9.19921875" style="213"/>
    <col min="9724" max="9724" width="41.796875" style="213" customWidth="1"/>
    <col min="9725" max="9726" width="9.19921875" style="213"/>
    <col min="9727" max="9727" width="14.796875" style="213" customWidth="1"/>
    <col min="9728" max="9979" width="9.19921875" style="213"/>
    <col min="9980" max="9980" width="41.796875" style="213" customWidth="1"/>
    <col min="9981" max="9982" width="9.19921875" style="213"/>
    <col min="9983" max="9983" width="14.796875" style="213" customWidth="1"/>
    <col min="9984" max="10235" width="9.19921875" style="213"/>
    <col min="10236" max="10236" width="41.796875" style="213" customWidth="1"/>
    <col min="10237" max="10238" width="9.19921875" style="213"/>
    <col min="10239" max="10239" width="14.796875" style="213" customWidth="1"/>
    <col min="10240" max="10491" width="9.19921875" style="213"/>
    <col min="10492" max="10492" width="41.796875" style="213" customWidth="1"/>
    <col min="10493" max="10494" width="9.19921875" style="213"/>
    <col min="10495" max="10495" width="14.796875" style="213" customWidth="1"/>
    <col min="10496" max="10747" width="9.19921875" style="213"/>
    <col min="10748" max="10748" width="41.796875" style="213" customWidth="1"/>
    <col min="10749" max="10750" width="9.19921875" style="213"/>
    <col min="10751" max="10751" width="14.796875" style="213" customWidth="1"/>
    <col min="10752" max="11003" width="9.19921875" style="213"/>
    <col min="11004" max="11004" width="41.796875" style="213" customWidth="1"/>
    <col min="11005" max="11006" width="9.19921875" style="213"/>
    <col min="11007" max="11007" width="14.796875" style="213" customWidth="1"/>
    <col min="11008" max="11259" width="9.19921875" style="213"/>
    <col min="11260" max="11260" width="41.796875" style="213" customWidth="1"/>
    <col min="11261" max="11262" width="9.19921875" style="213"/>
    <col min="11263" max="11263" width="14.796875" style="213" customWidth="1"/>
    <col min="11264" max="11515" width="9.19921875" style="213"/>
    <col min="11516" max="11516" width="41.796875" style="213" customWidth="1"/>
    <col min="11517" max="11518" width="9.19921875" style="213"/>
    <col min="11519" max="11519" width="14.796875" style="213" customWidth="1"/>
    <col min="11520" max="11771" width="9.19921875" style="213"/>
    <col min="11772" max="11772" width="41.796875" style="213" customWidth="1"/>
    <col min="11773" max="11774" width="9.19921875" style="213"/>
    <col min="11775" max="11775" width="14.796875" style="213" customWidth="1"/>
    <col min="11776" max="12027" width="9.19921875" style="213"/>
    <col min="12028" max="12028" width="41.796875" style="213" customWidth="1"/>
    <col min="12029" max="12030" width="9.19921875" style="213"/>
    <col min="12031" max="12031" width="14.796875" style="213" customWidth="1"/>
    <col min="12032" max="12283" width="9.19921875" style="213"/>
    <col min="12284" max="12284" width="41.796875" style="213" customWidth="1"/>
    <col min="12285" max="12286" width="9.19921875" style="213"/>
    <col min="12287" max="12287" width="14.796875" style="213" customWidth="1"/>
    <col min="12288" max="12539" width="9.19921875" style="213"/>
    <col min="12540" max="12540" width="41.796875" style="213" customWidth="1"/>
    <col min="12541" max="12542" width="9.19921875" style="213"/>
    <col min="12543" max="12543" width="14.796875" style="213" customWidth="1"/>
    <col min="12544" max="12795" width="9.19921875" style="213"/>
    <col min="12796" max="12796" width="41.796875" style="213" customWidth="1"/>
    <col min="12797" max="12798" width="9.19921875" style="213"/>
    <col min="12799" max="12799" width="14.796875" style="213" customWidth="1"/>
    <col min="12800" max="13051" width="9.19921875" style="213"/>
    <col min="13052" max="13052" width="41.796875" style="213" customWidth="1"/>
    <col min="13053" max="13054" width="9.19921875" style="213"/>
    <col min="13055" max="13055" width="14.796875" style="213" customWidth="1"/>
    <col min="13056" max="13307" width="9.19921875" style="213"/>
    <col min="13308" max="13308" width="41.796875" style="213" customWidth="1"/>
    <col min="13309" max="13310" width="9.19921875" style="213"/>
    <col min="13311" max="13311" width="14.796875" style="213" customWidth="1"/>
    <col min="13312" max="13563" width="9.19921875" style="213"/>
    <col min="13564" max="13564" width="41.796875" style="213" customWidth="1"/>
    <col min="13565" max="13566" width="9.19921875" style="213"/>
    <col min="13567" max="13567" width="14.796875" style="213" customWidth="1"/>
    <col min="13568" max="13819" width="9.19921875" style="213"/>
    <col min="13820" max="13820" width="41.796875" style="213" customWidth="1"/>
    <col min="13821" max="13822" width="9.19921875" style="213"/>
    <col min="13823" max="13823" width="14.796875" style="213" customWidth="1"/>
    <col min="13824" max="14075" width="9.19921875" style="213"/>
    <col min="14076" max="14076" width="41.796875" style="213" customWidth="1"/>
    <col min="14077" max="14078" width="9.19921875" style="213"/>
    <col min="14079" max="14079" width="14.796875" style="213" customWidth="1"/>
    <col min="14080" max="14331" width="9.19921875" style="213"/>
    <col min="14332" max="14332" width="41.796875" style="213" customWidth="1"/>
    <col min="14333" max="14334" width="9.19921875" style="213"/>
    <col min="14335" max="14335" width="14.796875" style="213" customWidth="1"/>
    <col min="14336" max="14587" width="9.19921875" style="213"/>
    <col min="14588" max="14588" width="41.796875" style="213" customWidth="1"/>
    <col min="14589" max="14590" width="9.19921875" style="213"/>
    <col min="14591" max="14591" width="14.796875" style="213" customWidth="1"/>
    <col min="14592" max="14843" width="9.19921875" style="213"/>
    <col min="14844" max="14844" width="41.796875" style="213" customWidth="1"/>
    <col min="14845" max="14846" width="9.19921875" style="213"/>
    <col min="14847" max="14847" width="14.796875" style="213" customWidth="1"/>
    <col min="14848" max="15099" width="9.19921875" style="213"/>
    <col min="15100" max="15100" width="41.796875" style="213" customWidth="1"/>
    <col min="15101" max="15102" width="9.19921875" style="213"/>
    <col min="15103" max="15103" width="14.796875" style="213" customWidth="1"/>
    <col min="15104" max="15355" width="9.19921875" style="213"/>
    <col min="15356" max="15356" width="41.796875" style="213" customWidth="1"/>
    <col min="15357" max="15358" width="9.19921875" style="213"/>
    <col min="15359" max="15359" width="14.796875" style="213" customWidth="1"/>
    <col min="15360" max="15611" width="9.19921875" style="213"/>
    <col min="15612" max="15612" width="41.796875" style="213" customWidth="1"/>
    <col min="15613" max="15614" width="9.19921875" style="213"/>
    <col min="15615" max="15615" width="14.796875" style="213" customWidth="1"/>
    <col min="15616" max="15867" width="9.19921875" style="213"/>
    <col min="15868" max="15868" width="41.796875" style="213" customWidth="1"/>
    <col min="15869" max="15870" width="9.19921875" style="213"/>
    <col min="15871" max="15871" width="14.796875" style="213" customWidth="1"/>
    <col min="15872" max="16123" width="9.19921875" style="213"/>
    <col min="16124" max="16124" width="41.796875" style="213" customWidth="1"/>
    <col min="16125" max="16126" width="9.19921875" style="213"/>
    <col min="16127" max="16127" width="14.796875" style="213" customWidth="1"/>
    <col min="16128" max="16384" width="9.19921875" style="213"/>
  </cols>
  <sheetData>
    <row r="1" spans="1:7">
      <c r="A1" s="1482" t="s">
        <v>1785</v>
      </c>
      <c r="B1" s="1482"/>
    </row>
    <row r="2" spans="1:7">
      <c r="A2" s="241" t="s">
        <v>2025</v>
      </c>
      <c r="B2" s="241"/>
      <c r="C2" s="241"/>
      <c r="D2" s="241"/>
      <c r="E2" s="241"/>
      <c r="F2" s="241"/>
      <c r="G2" s="241"/>
    </row>
    <row r="3" spans="1:7">
      <c r="A3" s="693" t="s">
        <v>149</v>
      </c>
      <c r="B3" s="693"/>
      <c r="C3" s="693"/>
      <c r="D3" s="694"/>
    </row>
    <row r="4" spans="1:7">
      <c r="A4" s="695"/>
      <c r="B4" s="695"/>
      <c r="C4" s="696"/>
      <c r="D4" s="697" t="s">
        <v>93</v>
      </c>
    </row>
    <row r="5" spans="1:7">
      <c r="A5" s="1481" t="s">
        <v>44</v>
      </c>
      <c r="B5" s="1481" t="s">
        <v>1372</v>
      </c>
      <c r="C5" s="152" t="s">
        <v>507</v>
      </c>
      <c r="D5" s="152" t="s">
        <v>1454</v>
      </c>
    </row>
    <row r="6" spans="1:7">
      <c r="A6" s="1481"/>
      <c r="B6" s="1481"/>
      <c r="C6" s="146" t="s">
        <v>342</v>
      </c>
      <c r="D6" s="146" t="s">
        <v>343</v>
      </c>
    </row>
    <row r="7" spans="1:7">
      <c r="A7" s="698" t="s">
        <v>92</v>
      </c>
      <c r="B7" s="699" t="s">
        <v>409</v>
      </c>
      <c r="C7" s="1483" t="s">
        <v>2062</v>
      </c>
      <c r="D7" s="700">
        <f>+ARR!G14</f>
        <v>29.901866872785767</v>
      </c>
    </row>
    <row r="8" spans="1:7">
      <c r="A8" s="698" t="s">
        <v>102</v>
      </c>
      <c r="B8" s="699" t="s">
        <v>142</v>
      </c>
      <c r="C8" s="1484"/>
      <c r="D8" s="700">
        <f>+ARR!G41</f>
        <v>0.23975478993670318</v>
      </c>
    </row>
    <row r="9" spans="1:7">
      <c r="A9" s="686" t="s">
        <v>103</v>
      </c>
      <c r="B9" s="701" t="s">
        <v>410</v>
      </c>
      <c r="C9" s="1484"/>
      <c r="D9" s="1007">
        <f>D7+D8</f>
        <v>30.141621662722471</v>
      </c>
    </row>
    <row r="10" spans="1:7">
      <c r="A10" s="686"/>
      <c r="B10" s="701"/>
      <c r="C10" s="1484"/>
      <c r="D10" s="545"/>
    </row>
    <row r="11" spans="1:7">
      <c r="A11" s="698" t="s">
        <v>284</v>
      </c>
      <c r="B11" s="704" t="s">
        <v>411</v>
      </c>
      <c r="C11" s="1484"/>
      <c r="D11" s="545"/>
    </row>
    <row r="12" spans="1:7">
      <c r="A12" s="698"/>
      <c r="B12" s="699" t="s">
        <v>445</v>
      </c>
      <c r="C12" s="1484"/>
      <c r="D12" s="545">
        <f>+ARR!G17+ARR!G19</f>
        <v>24.909404671099999</v>
      </c>
    </row>
    <row r="13" spans="1:7" ht="28.5">
      <c r="A13" s="698"/>
      <c r="B13" s="699" t="s">
        <v>412</v>
      </c>
      <c r="C13" s="1484"/>
      <c r="D13" s="545"/>
    </row>
    <row r="14" spans="1:7">
      <c r="A14" s="698"/>
      <c r="B14" s="699" t="s">
        <v>413</v>
      </c>
      <c r="C14" s="1484"/>
      <c r="D14" s="703">
        <f>+ARR!G22</f>
        <v>0</v>
      </c>
    </row>
    <row r="15" spans="1:7">
      <c r="A15" s="698"/>
      <c r="B15" s="699" t="s">
        <v>414</v>
      </c>
      <c r="C15" s="1484"/>
      <c r="D15" s="703">
        <f>SUM(ARR!G29:G32)</f>
        <v>2.6664279156798605</v>
      </c>
    </row>
    <row r="16" spans="1:7">
      <c r="A16" s="698"/>
      <c r="B16" s="699" t="s">
        <v>415</v>
      </c>
      <c r="C16" s="1484"/>
      <c r="D16" s="703">
        <f>+ARR!G28</f>
        <v>1.631878364731169</v>
      </c>
    </row>
    <row r="17" spans="1:4">
      <c r="A17" s="698"/>
      <c r="B17" s="705" t="s">
        <v>416</v>
      </c>
      <c r="C17" s="1484"/>
      <c r="D17" s="545"/>
    </row>
    <row r="18" spans="1:4">
      <c r="A18" s="698"/>
      <c r="B18" s="699" t="s">
        <v>441</v>
      </c>
      <c r="C18" s="1484"/>
      <c r="D18" s="519">
        <f>+ARR!G23</f>
        <v>3.1162040363150689</v>
      </c>
    </row>
    <row r="19" spans="1:4">
      <c r="A19" s="698"/>
      <c r="B19" s="699" t="s">
        <v>2029</v>
      </c>
      <c r="C19" s="1484"/>
      <c r="D19" s="519">
        <f>+ARR!G21</f>
        <v>0</v>
      </c>
    </row>
    <row r="20" spans="1:4">
      <c r="A20" s="698"/>
      <c r="B20" s="699" t="s">
        <v>442</v>
      </c>
      <c r="C20" s="1484"/>
      <c r="D20" s="545">
        <f>+ARR!G33</f>
        <v>0</v>
      </c>
    </row>
    <row r="21" spans="1:4">
      <c r="A21" s="686"/>
      <c r="B21" s="701" t="s">
        <v>417</v>
      </c>
      <c r="C21" s="1484"/>
      <c r="D21" s="1007">
        <f>SUM(D12:D20)</f>
        <v>32.3239149878261</v>
      </c>
    </row>
    <row r="22" spans="1:4" ht="28.5">
      <c r="A22" s="698" t="s">
        <v>289</v>
      </c>
      <c r="B22" s="699" t="s">
        <v>446</v>
      </c>
      <c r="C22" s="1484"/>
      <c r="D22" s="958">
        <f>D9-D21</f>
        <v>-2.1822933251036289</v>
      </c>
    </row>
    <row r="23" spans="1:4">
      <c r="A23" s="698" t="s">
        <v>290</v>
      </c>
      <c r="B23" s="699" t="s">
        <v>447</v>
      </c>
      <c r="C23" s="1484"/>
      <c r="D23" s="944">
        <f>+ARR!G54-ARR!D54</f>
        <v>-4.0627430066237711</v>
      </c>
    </row>
    <row r="24" spans="1:4">
      <c r="A24" s="698" t="s">
        <v>313</v>
      </c>
      <c r="B24" s="699" t="s">
        <v>418</v>
      </c>
      <c r="C24" s="1484"/>
      <c r="D24" s="958">
        <f>D22-D23</f>
        <v>1.8804496815201421</v>
      </c>
    </row>
    <row r="25" spans="1:4">
      <c r="A25" s="698" t="s">
        <v>314</v>
      </c>
      <c r="B25" s="699" t="s">
        <v>419</v>
      </c>
      <c r="C25" s="1484"/>
      <c r="D25" s="545"/>
    </row>
    <row r="26" spans="1:4">
      <c r="A26" s="698"/>
      <c r="B26" s="699" t="s">
        <v>420</v>
      </c>
      <c r="C26" s="1484"/>
      <c r="D26" s="545">
        <f>+ARR!G36</f>
        <v>0</v>
      </c>
    </row>
    <row r="27" spans="1:4">
      <c r="A27" s="698"/>
      <c r="B27" s="699" t="s">
        <v>421</v>
      </c>
      <c r="C27" s="1484"/>
      <c r="D27" s="545"/>
    </row>
    <row r="28" spans="1:4">
      <c r="A28" s="698"/>
      <c r="B28" s="699" t="s">
        <v>448</v>
      </c>
      <c r="C28" s="1484"/>
      <c r="D28" s="545"/>
    </row>
    <row r="29" spans="1:4">
      <c r="A29" s="698"/>
      <c r="B29" s="699" t="s">
        <v>449</v>
      </c>
      <c r="C29" s="1484"/>
      <c r="D29" s="545"/>
    </row>
    <row r="30" spans="1:4">
      <c r="A30" s="698"/>
      <c r="B30" s="699" t="s">
        <v>1455</v>
      </c>
      <c r="C30" s="1484"/>
      <c r="D30" s="545"/>
    </row>
    <row r="31" spans="1:4">
      <c r="A31" s="698" t="s">
        <v>432</v>
      </c>
      <c r="B31" s="699" t="s">
        <v>422</v>
      </c>
      <c r="C31" s="1484"/>
      <c r="D31" s="941">
        <f>+D24-SUM(D26:D30)</f>
        <v>1.8804496815201421</v>
      </c>
    </row>
    <row r="32" spans="1:4">
      <c r="A32" s="698" t="s">
        <v>104</v>
      </c>
      <c r="B32" s="699" t="s">
        <v>423</v>
      </c>
      <c r="C32" s="1484"/>
      <c r="D32" s="706"/>
    </row>
    <row r="33" spans="1:4">
      <c r="A33" s="698" t="s">
        <v>433</v>
      </c>
      <c r="B33" s="699" t="s">
        <v>424</v>
      </c>
      <c r="C33" s="1484"/>
      <c r="D33" s="545"/>
    </row>
    <row r="34" spans="1:4">
      <c r="A34" s="698" t="s">
        <v>434</v>
      </c>
      <c r="B34" s="699" t="s">
        <v>2026</v>
      </c>
      <c r="C34" s="1484"/>
      <c r="D34" s="941">
        <f>+D32-D33</f>
        <v>0</v>
      </c>
    </row>
    <row r="35" spans="1:4">
      <c r="A35" s="698" t="s">
        <v>435</v>
      </c>
      <c r="B35" s="699" t="s">
        <v>2027</v>
      </c>
      <c r="C35" s="1484"/>
      <c r="D35" s="941">
        <f>+D31+D34</f>
        <v>1.8804496815201421</v>
      </c>
    </row>
    <row r="36" spans="1:4">
      <c r="A36" s="698" t="s">
        <v>436</v>
      </c>
      <c r="B36" s="699" t="s">
        <v>425</v>
      </c>
      <c r="C36" s="1484"/>
      <c r="D36" s="944"/>
    </row>
    <row r="37" spans="1:4">
      <c r="A37" s="698"/>
      <c r="B37" s="699" t="s">
        <v>426</v>
      </c>
      <c r="C37" s="1484"/>
      <c r="D37" s="944"/>
    </row>
    <row r="38" spans="1:4" ht="28.5">
      <c r="A38" s="707"/>
      <c r="B38" s="708" t="s">
        <v>443</v>
      </c>
      <c r="C38" s="1484"/>
      <c r="D38" s="944"/>
    </row>
    <row r="39" spans="1:4">
      <c r="A39" s="698"/>
      <c r="B39" s="699" t="s">
        <v>427</v>
      </c>
      <c r="C39" s="1484"/>
      <c r="D39" s="944"/>
    </row>
    <row r="40" spans="1:4" ht="28.5">
      <c r="A40" s="698"/>
      <c r="B40" s="708" t="s">
        <v>444</v>
      </c>
      <c r="C40" s="1484"/>
      <c r="D40" s="944"/>
    </row>
    <row r="41" spans="1:4">
      <c r="A41" s="698" t="s">
        <v>437</v>
      </c>
      <c r="B41" s="708" t="s">
        <v>450</v>
      </c>
      <c r="C41" s="1484"/>
      <c r="D41" s="1008">
        <f>SUM(D37:D40)</f>
        <v>0</v>
      </c>
    </row>
    <row r="42" spans="1:4" ht="28.5">
      <c r="A42" s="698" t="s">
        <v>438</v>
      </c>
      <c r="B42" s="699" t="s">
        <v>428</v>
      </c>
      <c r="C42" s="1484"/>
      <c r="D42" s="941">
        <f>+D35+D41</f>
        <v>1.8804496815201421</v>
      </c>
    </row>
    <row r="43" spans="1:4">
      <c r="A43" s="698" t="s">
        <v>439</v>
      </c>
      <c r="B43" s="699" t="s">
        <v>429</v>
      </c>
      <c r="C43" s="1484"/>
      <c r="D43" s="545"/>
    </row>
    <row r="44" spans="1:4">
      <c r="A44" s="698"/>
      <c r="B44" s="709" t="s">
        <v>1373</v>
      </c>
      <c r="C44" s="1484"/>
      <c r="D44" s="545"/>
    </row>
    <row r="45" spans="1:4">
      <c r="A45" s="707"/>
      <c r="B45" s="710" t="s">
        <v>1374</v>
      </c>
      <c r="C45" s="1484"/>
      <c r="D45" s="545"/>
    </row>
    <row r="46" spans="1:4">
      <c r="A46" s="698" t="s">
        <v>440</v>
      </c>
      <c r="B46" s="699" t="s">
        <v>430</v>
      </c>
      <c r="C46" s="1484"/>
      <c r="D46" s="711"/>
    </row>
    <row r="47" spans="1:4">
      <c r="A47" s="698"/>
      <c r="B47" s="709" t="s">
        <v>1373</v>
      </c>
      <c r="C47" s="1484"/>
      <c r="D47" s="545"/>
    </row>
    <row r="48" spans="1:4">
      <c r="A48" s="707"/>
      <c r="B48" s="710" t="s">
        <v>1374</v>
      </c>
      <c r="C48" s="1484"/>
      <c r="D48" s="545"/>
    </row>
    <row r="49" spans="1:4">
      <c r="A49" s="698" t="s">
        <v>451</v>
      </c>
      <c r="B49" s="699" t="s">
        <v>431</v>
      </c>
      <c r="C49" s="1484"/>
      <c r="D49" s="545"/>
    </row>
    <row r="50" spans="1:4">
      <c r="A50" s="698"/>
      <c r="B50" s="709" t="s">
        <v>1373</v>
      </c>
      <c r="C50" s="1484"/>
      <c r="D50" s="545"/>
    </row>
    <row r="51" spans="1:4">
      <c r="A51" s="707"/>
      <c r="B51" s="710" t="s">
        <v>1374</v>
      </c>
      <c r="C51" s="1485"/>
      <c r="D51" s="545"/>
    </row>
    <row r="52" spans="1:4">
      <c r="A52" s="213" t="s">
        <v>75</v>
      </c>
      <c r="B52" s="213" t="s">
        <v>508</v>
      </c>
    </row>
  </sheetData>
  <mergeCells count="4">
    <mergeCell ref="A5:A6"/>
    <mergeCell ref="B5:B6"/>
    <mergeCell ref="A1:B1"/>
    <mergeCell ref="C7:C51"/>
  </mergeCells>
  <printOptions horizontalCentered="1"/>
  <pageMargins left="0.70866141732283472" right="0.70866141732283472" top="0.51181102362204722" bottom="0" header="0.31496062992125984" footer="0.31496062992125984"/>
  <pageSetup paperSize="5" scale="87"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FFFF"/>
  </sheetPr>
  <dimension ref="A1:I35"/>
  <sheetViews>
    <sheetView view="pageBreakPreview" zoomScale="118" zoomScaleNormal="71" zoomScaleSheetLayoutView="118" workbookViewId="0">
      <selection activeCell="A18" sqref="A18:XFD18"/>
    </sheetView>
  </sheetViews>
  <sheetFormatPr defaultColWidth="14.796875" defaultRowHeight="14.25"/>
  <cols>
    <col min="1" max="1" width="5.796875" style="3" bestFit="1" customWidth="1"/>
    <col min="2" max="2" width="42" style="3" customWidth="1"/>
    <col min="3" max="3" width="10.19921875" style="3" customWidth="1"/>
    <col min="4" max="4" width="9.19921875" style="3" customWidth="1"/>
    <col min="5" max="5" width="15.19921875" style="3" customWidth="1"/>
    <col min="6" max="6" width="10.796875" style="3" customWidth="1"/>
    <col min="7" max="7" width="15.46484375" style="3" customWidth="1"/>
    <col min="8" max="8" width="14.796875" style="3" customWidth="1"/>
    <col min="9" max="9" width="18.796875" style="3" customWidth="1"/>
    <col min="10" max="250" width="14.796875" style="3"/>
    <col min="251" max="251" width="4.796875" style="3" customWidth="1"/>
    <col min="252" max="252" width="45.19921875" style="3" customWidth="1"/>
    <col min="253" max="255" width="10.19921875" style="3" customWidth="1"/>
    <col min="256" max="506" width="14.796875" style="3"/>
    <col min="507" max="507" width="4.796875" style="3" customWidth="1"/>
    <col min="508" max="508" width="45.19921875" style="3" customWidth="1"/>
    <col min="509" max="511" width="10.19921875" style="3" customWidth="1"/>
    <col min="512" max="762" width="14.796875" style="3"/>
    <col min="763" max="763" width="4.796875" style="3" customWidth="1"/>
    <col min="764" max="764" width="45.19921875" style="3" customWidth="1"/>
    <col min="765" max="767" width="10.19921875" style="3" customWidth="1"/>
    <col min="768" max="1018" width="14.796875" style="3"/>
    <col min="1019" max="1019" width="4.796875" style="3" customWidth="1"/>
    <col min="1020" max="1020" width="45.19921875" style="3" customWidth="1"/>
    <col min="1021" max="1023" width="10.19921875" style="3" customWidth="1"/>
    <col min="1024" max="1274" width="14.796875" style="3"/>
    <col min="1275" max="1275" width="4.796875" style="3" customWidth="1"/>
    <col min="1276" max="1276" width="45.19921875" style="3" customWidth="1"/>
    <col min="1277" max="1279" width="10.19921875" style="3" customWidth="1"/>
    <col min="1280" max="1530" width="14.796875" style="3"/>
    <col min="1531" max="1531" width="4.796875" style="3" customWidth="1"/>
    <col min="1532" max="1532" width="45.19921875" style="3" customWidth="1"/>
    <col min="1533" max="1535" width="10.19921875" style="3" customWidth="1"/>
    <col min="1536" max="1786" width="14.796875" style="3"/>
    <col min="1787" max="1787" width="4.796875" style="3" customWidth="1"/>
    <col min="1788" max="1788" width="45.19921875" style="3" customWidth="1"/>
    <col min="1789" max="1791" width="10.19921875" style="3" customWidth="1"/>
    <col min="1792" max="2042" width="14.796875" style="3"/>
    <col min="2043" max="2043" width="4.796875" style="3" customWidth="1"/>
    <col min="2044" max="2044" width="45.19921875" style="3" customWidth="1"/>
    <col min="2045" max="2047" width="10.19921875" style="3" customWidth="1"/>
    <col min="2048" max="2298" width="14.796875" style="3"/>
    <col min="2299" max="2299" width="4.796875" style="3" customWidth="1"/>
    <col min="2300" max="2300" width="45.19921875" style="3" customWidth="1"/>
    <col min="2301" max="2303" width="10.19921875" style="3" customWidth="1"/>
    <col min="2304" max="2554" width="14.796875" style="3"/>
    <col min="2555" max="2555" width="4.796875" style="3" customWidth="1"/>
    <col min="2556" max="2556" width="45.19921875" style="3" customWidth="1"/>
    <col min="2557" max="2559" width="10.19921875" style="3" customWidth="1"/>
    <col min="2560" max="2810" width="14.796875" style="3"/>
    <col min="2811" max="2811" width="4.796875" style="3" customWidth="1"/>
    <col min="2812" max="2812" width="45.19921875" style="3" customWidth="1"/>
    <col min="2813" max="2815" width="10.19921875" style="3" customWidth="1"/>
    <col min="2816" max="3066" width="14.796875" style="3"/>
    <col min="3067" max="3067" width="4.796875" style="3" customWidth="1"/>
    <col min="3068" max="3068" width="45.19921875" style="3" customWidth="1"/>
    <col min="3069" max="3071" width="10.19921875" style="3" customWidth="1"/>
    <col min="3072" max="3322" width="14.796875" style="3"/>
    <col min="3323" max="3323" width="4.796875" style="3" customWidth="1"/>
    <col min="3324" max="3324" width="45.19921875" style="3" customWidth="1"/>
    <col min="3325" max="3327" width="10.19921875" style="3" customWidth="1"/>
    <col min="3328" max="3578" width="14.796875" style="3"/>
    <col min="3579" max="3579" width="4.796875" style="3" customWidth="1"/>
    <col min="3580" max="3580" width="45.19921875" style="3" customWidth="1"/>
    <col min="3581" max="3583" width="10.19921875" style="3" customWidth="1"/>
    <col min="3584" max="3834" width="14.796875" style="3"/>
    <col min="3835" max="3835" width="4.796875" style="3" customWidth="1"/>
    <col min="3836" max="3836" width="45.19921875" style="3" customWidth="1"/>
    <col min="3837" max="3839" width="10.19921875" style="3" customWidth="1"/>
    <col min="3840" max="4090" width="14.796875" style="3"/>
    <col min="4091" max="4091" width="4.796875" style="3" customWidth="1"/>
    <col min="4092" max="4092" width="45.19921875" style="3" customWidth="1"/>
    <col min="4093" max="4095" width="10.19921875" style="3" customWidth="1"/>
    <col min="4096" max="4346" width="14.796875" style="3"/>
    <col min="4347" max="4347" width="4.796875" style="3" customWidth="1"/>
    <col min="4348" max="4348" width="45.19921875" style="3" customWidth="1"/>
    <col min="4349" max="4351" width="10.19921875" style="3" customWidth="1"/>
    <col min="4352" max="4602" width="14.796875" style="3"/>
    <col min="4603" max="4603" width="4.796875" style="3" customWidth="1"/>
    <col min="4604" max="4604" width="45.19921875" style="3" customWidth="1"/>
    <col min="4605" max="4607" width="10.19921875" style="3" customWidth="1"/>
    <col min="4608" max="4858" width="14.796875" style="3"/>
    <col min="4859" max="4859" width="4.796875" style="3" customWidth="1"/>
    <col min="4860" max="4860" width="45.19921875" style="3" customWidth="1"/>
    <col min="4861" max="4863" width="10.19921875" style="3" customWidth="1"/>
    <col min="4864" max="5114" width="14.796875" style="3"/>
    <col min="5115" max="5115" width="4.796875" style="3" customWidth="1"/>
    <col min="5116" max="5116" width="45.19921875" style="3" customWidth="1"/>
    <col min="5117" max="5119" width="10.19921875" style="3" customWidth="1"/>
    <col min="5120" max="5370" width="14.796875" style="3"/>
    <col min="5371" max="5371" width="4.796875" style="3" customWidth="1"/>
    <col min="5372" max="5372" width="45.19921875" style="3" customWidth="1"/>
    <col min="5373" max="5375" width="10.19921875" style="3" customWidth="1"/>
    <col min="5376" max="5626" width="14.796875" style="3"/>
    <col min="5627" max="5627" width="4.796875" style="3" customWidth="1"/>
    <col min="5628" max="5628" width="45.19921875" style="3" customWidth="1"/>
    <col min="5629" max="5631" width="10.19921875" style="3" customWidth="1"/>
    <col min="5632" max="5882" width="14.796875" style="3"/>
    <col min="5883" max="5883" width="4.796875" style="3" customWidth="1"/>
    <col min="5884" max="5884" width="45.19921875" style="3" customWidth="1"/>
    <col min="5885" max="5887" width="10.19921875" style="3" customWidth="1"/>
    <col min="5888" max="6138" width="14.796875" style="3"/>
    <col min="6139" max="6139" width="4.796875" style="3" customWidth="1"/>
    <col min="6140" max="6140" width="45.19921875" style="3" customWidth="1"/>
    <col min="6141" max="6143" width="10.19921875" style="3" customWidth="1"/>
    <col min="6144" max="6394" width="14.796875" style="3"/>
    <col min="6395" max="6395" width="4.796875" style="3" customWidth="1"/>
    <col min="6396" max="6396" width="45.19921875" style="3" customWidth="1"/>
    <col min="6397" max="6399" width="10.19921875" style="3" customWidth="1"/>
    <col min="6400" max="6650" width="14.796875" style="3"/>
    <col min="6651" max="6651" width="4.796875" style="3" customWidth="1"/>
    <col min="6652" max="6652" width="45.19921875" style="3" customWidth="1"/>
    <col min="6653" max="6655" width="10.19921875" style="3" customWidth="1"/>
    <col min="6656" max="6906" width="14.796875" style="3"/>
    <col min="6907" max="6907" width="4.796875" style="3" customWidth="1"/>
    <col min="6908" max="6908" width="45.19921875" style="3" customWidth="1"/>
    <col min="6909" max="6911" width="10.19921875" style="3" customWidth="1"/>
    <col min="6912" max="7162" width="14.796875" style="3"/>
    <col min="7163" max="7163" width="4.796875" style="3" customWidth="1"/>
    <col min="7164" max="7164" width="45.19921875" style="3" customWidth="1"/>
    <col min="7165" max="7167" width="10.19921875" style="3" customWidth="1"/>
    <col min="7168" max="7418" width="14.796875" style="3"/>
    <col min="7419" max="7419" width="4.796875" style="3" customWidth="1"/>
    <col min="7420" max="7420" width="45.19921875" style="3" customWidth="1"/>
    <col min="7421" max="7423" width="10.19921875" style="3" customWidth="1"/>
    <col min="7424" max="7674" width="14.796875" style="3"/>
    <col min="7675" max="7675" width="4.796875" style="3" customWidth="1"/>
    <col min="7676" max="7676" width="45.19921875" style="3" customWidth="1"/>
    <col min="7677" max="7679" width="10.19921875" style="3" customWidth="1"/>
    <col min="7680" max="7930" width="14.796875" style="3"/>
    <col min="7931" max="7931" width="4.796875" style="3" customWidth="1"/>
    <col min="7932" max="7932" width="45.19921875" style="3" customWidth="1"/>
    <col min="7933" max="7935" width="10.19921875" style="3" customWidth="1"/>
    <col min="7936" max="8186" width="14.796875" style="3"/>
    <col min="8187" max="8187" width="4.796875" style="3" customWidth="1"/>
    <col min="8188" max="8188" width="45.19921875" style="3" customWidth="1"/>
    <col min="8189" max="8191" width="10.19921875" style="3" customWidth="1"/>
    <col min="8192" max="8442" width="14.796875" style="3"/>
    <col min="8443" max="8443" width="4.796875" style="3" customWidth="1"/>
    <col min="8444" max="8444" width="45.19921875" style="3" customWidth="1"/>
    <col min="8445" max="8447" width="10.19921875" style="3" customWidth="1"/>
    <col min="8448" max="8698" width="14.796875" style="3"/>
    <col min="8699" max="8699" width="4.796875" style="3" customWidth="1"/>
    <col min="8700" max="8700" width="45.19921875" style="3" customWidth="1"/>
    <col min="8701" max="8703" width="10.19921875" style="3" customWidth="1"/>
    <col min="8704" max="8954" width="14.796875" style="3"/>
    <col min="8955" max="8955" width="4.796875" style="3" customWidth="1"/>
    <col min="8956" max="8956" width="45.19921875" style="3" customWidth="1"/>
    <col min="8957" max="8959" width="10.19921875" style="3" customWidth="1"/>
    <col min="8960" max="9210" width="14.796875" style="3"/>
    <col min="9211" max="9211" width="4.796875" style="3" customWidth="1"/>
    <col min="9212" max="9212" width="45.19921875" style="3" customWidth="1"/>
    <col min="9213" max="9215" width="10.19921875" style="3" customWidth="1"/>
    <col min="9216" max="9466" width="14.796875" style="3"/>
    <col min="9467" max="9467" width="4.796875" style="3" customWidth="1"/>
    <col min="9468" max="9468" width="45.19921875" style="3" customWidth="1"/>
    <col min="9469" max="9471" width="10.19921875" style="3" customWidth="1"/>
    <col min="9472" max="9722" width="14.796875" style="3"/>
    <col min="9723" max="9723" width="4.796875" style="3" customWidth="1"/>
    <col min="9724" max="9724" width="45.19921875" style="3" customWidth="1"/>
    <col min="9725" max="9727" width="10.19921875" style="3" customWidth="1"/>
    <col min="9728" max="9978" width="14.796875" style="3"/>
    <col min="9979" max="9979" width="4.796875" style="3" customWidth="1"/>
    <col min="9980" max="9980" width="45.19921875" style="3" customWidth="1"/>
    <col min="9981" max="9983" width="10.19921875" style="3" customWidth="1"/>
    <col min="9984" max="10234" width="14.796875" style="3"/>
    <col min="10235" max="10235" width="4.796875" style="3" customWidth="1"/>
    <col min="10236" max="10236" width="45.19921875" style="3" customWidth="1"/>
    <col min="10237" max="10239" width="10.19921875" style="3" customWidth="1"/>
    <col min="10240" max="10490" width="14.796875" style="3"/>
    <col min="10491" max="10491" width="4.796875" style="3" customWidth="1"/>
    <col min="10492" max="10492" width="45.19921875" style="3" customWidth="1"/>
    <col min="10493" max="10495" width="10.19921875" style="3" customWidth="1"/>
    <col min="10496" max="10746" width="14.796875" style="3"/>
    <col min="10747" max="10747" width="4.796875" style="3" customWidth="1"/>
    <col min="10748" max="10748" width="45.19921875" style="3" customWidth="1"/>
    <col min="10749" max="10751" width="10.19921875" style="3" customWidth="1"/>
    <col min="10752" max="11002" width="14.796875" style="3"/>
    <col min="11003" max="11003" width="4.796875" style="3" customWidth="1"/>
    <col min="11004" max="11004" width="45.19921875" style="3" customWidth="1"/>
    <col min="11005" max="11007" width="10.19921875" style="3" customWidth="1"/>
    <col min="11008" max="11258" width="14.796875" style="3"/>
    <col min="11259" max="11259" width="4.796875" style="3" customWidth="1"/>
    <col min="11260" max="11260" width="45.19921875" style="3" customWidth="1"/>
    <col min="11261" max="11263" width="10.19921875" style="3" customWidth="1"/>
    <col min="11264" max="11514" width="14.796875" style="3"/>
    <col min="11515" max="11515" width="4.796875" style="3" customWidth="1"/>
    <col min="11516" max="11516" width="45.19921875" style="3" customWidth="1"/>
    <col min="11517" max="11519" width="10.19921875" style="3" customWidth="1"/>
    <col min="11520" max="11770" width="14.796875" style="3"/>
    <col min="11771" max="11771" width="4.796875" style="3" customWidth="1"/>
    <col min="11772" max="11772" width="45.19921875" style="3" customWidth="1"/>
    <col min="11773" max="11775" width="10.19921875" style="3" customWidth="1"/>
    <col min="11776" max="12026" width="14.796875" style="3"/>
    <col min="12027" max="12027" width="4.796875" style="3" customWidth="1"/>
    <col min="12028" max="12028" width="45.19921875" style="3" customWidth="1"/>
    <col min="12029" max="12031" width="10.19921875" style="3" customWidth="1"/>
    <col min="12032" max="12282" width="14.796875" style="3"/>
    <col min="12283" max="12283" width="4.796875" style="3" customWidth="1"/>
    <col min="12284" max="12284" width="45.19921875" style="3" customWidth="1"/>
    <col min="12285" max="12287" width="10.19921875" style="3" customWidth="1"/>
    <col min="12288" max="12538" width="14.796875" style="3"/>
    <col min="12539" max="12539" width="4.796875" style="3" customWidth="1"/>
    <col min="12540" max="12540" width="45.19921875" style="3" customWidth="1"/>
    <col min="12541" max="12543" width="10.19921875" style="3" customWidth="1"/>
    <col min="12544" max="12794" width="14.796875" style="3"/>
    <col min="12795" max="12795" width="4.796875" style="3" customWidth="1"/>
    <col min="12796" max="12796" width="45.19921875" style="3" customWidth="1"/>
    <col min="12797" max="12799" width="10.19921875" style="3" customWidth="1"/>
    <col min="12800" max="13050" width="14.796875" style="3"/>
    <col min="13051" max="13051" width="4.796875" style="3" customWidth="1"/>
    <col min="13052" max="13052" width="45.19921875" style="3" customWidth="1"/>
    <col min="13053" max="13055" width="10.19921875" style="3" customWidth="1"/>
    <col min="13056" max="13306" width="14.796875" style="3"/>
    <col min="13307" max="13307" width="4.796875" style="3" customWidth="1"/>
    <col min="13308" max="13308" width="45.19921875" style="3" customWidth="1"/>
    <col min="13309" max="13311" width="10.19921875" style="3" customWidth="1"/>
    <col min="13312" max="13562" width="14.796875" style="3"/>
    <col min="13563" max="13563" width="4.796875" style="3" customWidth="1"/>
    <col min="13564" max="13564" width="45.19921875" style="3" customWidth="1"/>
    <col min="13565" max="13567" width="10.19921875" style="3" customWidth="1"/>
    <col min="13568" max="13818" width="14.796875" style="3"/>
    <col min="13819" max="13819" width="4.796875" style="3" customWidth="1"/>
    <col min="13820" max="13820" width="45.19921875" style="3" customWidth="1"/>
    <col min="13821" max="13823" width="10.19921875" style="3" customWidth="1"/>
    <col min="13824" max="14074" width="14.796875" style="3"/>
    <col min="14075" max="14075" width="4.796875" style="3" customWidth="1"/>
    <col min="14076" max="14076" width="45.19921875" style="3" customWidth="1"/>
    <col min="14077" max="14079" width="10.19921875" style="3" customWidth="1"/>
    <col min="14080" max="14330" width="14.796875" style="3"/>
    <col min="14331" max="14331" width="4.796875" style="3" customWidth="1"/>
    <col min="14332" max="14332" width="45.19921875" style="3" customWidth="1"/>
    <col min="14333" max="14335" width="10.19921875" style="3" customWidth="1"/>
    <col min="14336" max="14586" width="14.796875" style="3"/>
    <col min="14587" max="14587" width="4.796875" style="3" customWidth="1"/>
    <col min="14588" max="14588" width="45.19921875" style="3" customWidth="1"/>
    <col min="14589" max="14591" width="10.19921875" style="3" customWidth="1"/>
    <col min="14592" max="14842" width="14.796875" style="3"/>
    <col min="14843" max="14843" width="4.796875" style="3" customWidth="1"/>
    <col min="14844" max="14844" width="45.19921875" style="3" customWidth="1"/>
    <col min="14845" max="14847" width="10.19921875" style="3" customWidth="1"/>
    <col min="14848" max="15098" width="14.796875" style="3"/>
    <col min="15099" max="15099" width="4.796875" style="3" customWidth="1"/>
    <col min="15100" max="15100" width="45.19921875" style="3" customWidth="1"/>
    <col min="15101" max="15103" width="10.19921875" style="3" customWidth="1"/>
    <col min="15104" max="15354" width="14.796875" style="3"/>
    <col min="15355" max="15355" width="4.796875" style="3" customWidth="1"/>
    <col min="15356" max="15356" width="45.19921875" style="3" customWidth="1"/>
    <col min="15357" max="15359" width="10.19921875" style="3" customWidth="1"/>
    <col min="15360" max="15610" width="14.796875" style="3"/>
    <col min="15611" max="15611" width="4.796875" style="3" customWidth="1"/>
    <col min="15612" max="15612" width="45.19921875" style="3" customWidth="1"/>
    <col min="15613" max="15615" width="10.19921875" style="3" customWidth="1"/>
    <col min="15616" max="15866" width="14.796875" style="3"/>
    <col min="15867" max="15867" width="4.796875" style="3" customWidth="1"/>
    <col min="15868" max="15868" width="45.19921875" style="3" customWidth="1"/>
    <col min="15869" max="15871" width="10.19921875" style="3" customWidth="1"/>
    <col min="15872" max="16122" width="14.796875" style="3"/>
    <col min="16123" max="16123" width="4.796875" style="3" customWidth="1"/>
    <col min="16124" max="16124" width="45.19921875" style="3" customWidth="1"/>
    <col min="16125" max="16127" width="10.19921875" style="3" customWidth="1"/>
    <col min="16128" max="16384" width="14.796875" style="3"/>
  </cols>
  <sheetData>
    <row r="1" spans="1:9">
      <c r="A1" s="1507" t="s">
        <v>1808</v>
      </c>
      <c r="B1" s="1507"/>
    </row>
    <row r="2" spans="1:9">
      <c r="A2" s="1585" t="str">
        <f>+'BS1'!A2</f>
        <v>NIDP DEVELOPERS PRIVATE LIMITED</v>
      </c>
      <c r="B2" s="1585"/>
      <c r="C2" s="1585"/>
      <c r="D2" s="1585"/>
      <c r="E2" s="1585"/>
      <c r="F2" s="1585"/>
      <c r="G2" s="39"/>
    </row>
    <row r="3" spans="1:9" ht="15" customHeight="1">
      <c r="A3" s="173" t="s">
        <v>1244</v>
      </c>
      <c r="B3" s="173"/>
      <c r="C3" s="173"/>
      <c r="D3" s="173"/>
      <c r="E3" s="173"/>
      <c r="F3" s="55"/>
      <c r="G3" s="55"/>
      <c r="H3" s="1582"/>
      <c r="I3" s="1582"/>
    </row>
    <row r="5" spans="1:9">
      <c r="A5" s="1587" t="s">
        <v>74</v>
      </c>
      <c r="B5" s="1583" t="s">
        <v>10</v>
      </c>
      <c r="C5" s="1583" t="s">
        <v>355</v>
      </c>
      <c r="D5" s="1583" t="s">
        <v>354</v>
      </c>
      <c r="E5" s="1573" t="s">
        <v>336</v>
      </c>
      <c r="F5" s="1573"/>
      <c r="G5" s="1573" t="s">
        <v>344</v>
      </c>
      <c r="H5" s="1573"/>
      <c r="I5" s="147" t="s">
        <v>739</v>
      </c>
    </row>
    <row r="6" spans="1:9">
      <c r="A6" s="1588"/>
      <c r="B6" s="1584"/>
      <c r="C6" s="1584"/>
      <c r="D6" s="1584"/>
      <c r="E6" s="1488" t="s">
        <v>352</v>
      </c>
      <c r="F6" s="1488"/>
      <c r="G6" s="1488" t="s">
        <v>353</v>
      </c>
      <c r="H6" s="1488"/>
      <c r="I6" s="146" t="s">
        <v>1569</v>
      </c>
    </row>
    <row r="7" spans="1:9">
      <c r="A7" s="1588"/>
      <c r="B7" s="1584"/>
      <c r="C7" s="1584"/>
      <c r="D7" s="1584"/>
      <c r="E7" s="148" t="s">
        <v>337</v>
      </c>
      <c r="F7" s="152" t="s">
        <v>338</v>
      </c>
      <c r="G7" s="148" t="s">
        <v>337</v>
      </c>
      <c r="H7" s="152" t="s">
        <v>338</v>
      </c>
      <c r="I7" s="147" t="s">
        <v>183</v>
      </c>
    </row>
    <row r="8" spans="1:9">
      <c r="A8" s="101" t="s">
        <v>32</v>
      </c>
      <c r="B8" s="196" t="s">
        <v>1255</v>
      </c>
      <c r="C8" s="101" t="s">
        <v>198</v>
      </c>
      <c r="D8" s="68"/>
      <c r="E8" s="1859" t="s">
        <v>2062</v>
      </c>
      <c r="F8" s="1860"/>
      <c r="G8" s="1860"/>
      <c r="H8" s="1860"/>
      <c r="I8" s="1861"/>
    </row>
    <row r="9" spans="1:9">
      <c r="A9" s="101"/>
      <c r="B9" s="196"/>
      <c r="C9" s="101"/>
      <c r="D9" s="68"/>
      <c r="E9" s="1862"/>
      <c r="F9" s="1863"/>
      <c r="G9" s="1863"/>
      <c r="H9" s="1863"/>
      <c r="I9" s="1864"/>
    </row>
    <row r="10" spans="1:9">
      <c r="A10" s="101"/>
      <c r="B10" s="196" t="s">
        <v>510</v>
      </c>
      <c r="C10" s="101"/>
      <c r="D10" s="68"/>
      <c r="E10" s="1862"/>
      <c r="F10" s="1863"/>
      <c r="G10" s="1863"/>
      <c r="H10" s="1863"/>
      <c r="I10" s="1864"/>
    </row>
    <row r="11" spans="1:9">
      <c r="A11" s="101" t="s">
        <v>33</v>
      </c>
      <c r="B11" s="196" t="s">
        <v>200</v>
      </c>
      <c r="C11" s="101" t="s">
        <v>35</v>
      </c>
      <c r="D11" s="68"/>
      <c r="E11" s="1862"/>
      <c r="F11" s="1863"/>
      <c r="G11" s="1863"/>
      <c r="H11" s="1863"/>
      <c r="I11" s="1864"/>
    </row>
    <row r="12" spans="1:9" ht="28.5">
      <c r="A12" s="101" t="s">
        <v>511</v>
      </c>
      <c r="B12" s="196" t="s">
        <v>512</v>
      </c>
      <c r="C12" s="101" t="s">
        <v>198</v>
      </c>
      <c r="D12" s="68" t="s">
        <v>597</v>
      </c>
      <c r="E12" s="1862"/>
      <c r="F12" s="1863"/>
      <c r="G12" s="1863"/>
      <c r="H12" s="1863"/>
      <c r="I12" s="1864"/>
    </row>
    <row r="13" spans="1:9">
      <c r="A13" s="101"/>
      <c r="B13" s="196"/>
      <c r="C13" s="101"/>
      <c r="D13" s="68"/>
      <c r="E13" s="1862"/>
      <c r="F13" s="1863"/>
      <c r="G13" s="1863"/>
      <c r="H13" s="1863"/>
      <c r="I13" s="1864"/>
    </row>
    <row r="14" spans="1:9">
      <c r="A14" s="101" t="s">
        <v>513</v>
      </c>
      <c r="B14" s="196" t="s">
        <v>514</v>
      </c>
      <c r="C14" s="101" t="s">
        <v>198</v>
      </c>
      <c r="D14" s="68" t="s">
        <v>522</v>
      </c>
      <c r="E14" s="1862"/>
      <c r="F14" s="1863"/>
      <c r="G14" s="1863"/>
      <c r="H14" s="1863"/>
      <c r="I14" s="1864"/>
    </row>
    <row r="15" spans="1:9">
      <c r="A15" s="101"/>
      <c r="B15" s="196"/>
      <c r="C15" s="101"/>
      <c r="D15" s="68"/>
      <c r="E15" s="1862"/>
      <c r="F15" s="1863"/>
      <c r="G15" s="1863"/>
      <c r="H15" s="1863"/>
      <c r="I15" s="1864"/>
    </row>
    <row r="16" spans="1:9">
      <c r="A16" s="101"/>
      <c r="B16" s="196" t="s">
        <v>515</v>
      </c>
      <c r="C16" s="101"/>
      <c r="D16" s="68"/>
      <c r="E16" s="1862"/>
      <c r="F16" s="1863"/>
      <c r="G16" s="1863"/>
      <c r="H16" s="1863"/>
      <c r="I16" s="1864"/>
    </row>
    <row r="17" spans="1:9">
      <c r="A17" s="101" t="s">
        <v>41</v>
      </c>
      <c r="B17" s="196" t="s">
        <v>200</v>
      </c>
      <c r="C17" s="101" t="s">
        <v>35</v>
      </c>
      <c r="D17" s="68"/>
      <c r="E17" s="1862"/>
      <c r="F17" s="1863"/>
      <c r="G17" s="1863"/>
      <c r="H17" s="1863"/>
      <c r="I17" s="1864"/>
    </row>
    <row r="18" spans="1:9" ht="28.5">
      <c r="A18" s="101" t="s">
        <v>42</v>
      </c>
      <c r="B18" s="196" t="s">
        <v>512</v>
      </c>
      <c r="C18" s="101" t="s">
        <v>198</v>
      </c>
      <c r="D18" s="68" t="s">
        <v>598</v>
      </c>
      <c r="E18" s="1862"/>
      <c r="F18" s="1863"/>
      <c r="G18" s="1863"/>
      <c r="H18" s="1863"/>
      <c r="I18" s="1864"/>
    </row>
    <row r="19" spans="1:9">
      <c r="A19" s="101"/>
      <c r="B19" s="196"/>
      <c r="C19" s="101"/>
      <c r="D19" s="68"/>
      <c r="E19" s="1862"/>
      <c r="F19" s="1863"/>
      <c r="G19" s="1863"/>
      <c r="H19" s="1863"/>
      <c r="I19" s="1864"/>
    </row>
    <row r="20" spans="1:9">
      <c r="A20" s="101" t="s">
        <v>516</v>
      </c>
      <c r="B20" s="1574" t="s">
        <v>517</v>
      </c>
      <c r="C20" s="101" t="s">
        <v>198</v>
      </c>
      <c r="D20" s="68" t="s">
        <v>523</v>
      </c>
      <c r="E20" s="1862"/>
      <c r="F20" s="1863"/>
      <c r="G20" s="1863"/>
      <c r="H20" s="1863"/>
      <c r="I20" s="1864"/>
    </row>
    <row r="21" spans="1:9">
      <c r="A21" s="101"/>
      <c r="B21" s="1575"/>
      <c r="C21" s="101"/>
      <c r="D21" s="68"/>
      <c r="E21" s="1862"/>
      <c r="F21" s="1863"/>
      <c r="G21" s="1863"/>
      <c r="H21" s="1863"/>
      <c r="I21" s="1864"/>
    </row>
    <row r="22" spans="1:9" ht="17.75" customHeight="1">
      <c r="A22" s="101" t="s">
        <v>518</v>
      </c>
      <c r="B22" s="1574" t="s">
        <v>599</v>
      </c>
      <c r="C22" s="101" t="s">
        <v>198</v>
      </c>
      <c r="D22" s="68"/>
      <c r="E22" s="1862"/>
      <c r="F22" s="1863"/>
      <c r="G22" s="1863"/>
      <c r="H22" s="1863"/>
      <c r="I22" s="1864"/>
    </row>
    <row r="23" spans="1:9" ht="17.75" customHeight="1">
      <c r="A23" s="196"/>
      <c r="B23" s="1575"/>
      <c r="C23" s="101"/>
      <c r="D23" s="68"/>
      <c r="E23" s="1862"/>
      <c r="F23" s="1863"/>
      <c r="G23" s="1863"/>
      <c r="H23" s="1863"/>
      <c r="I23" s="1864"/>
    </row>
    <row r="24" spans="1:9" ht="18.399999999999999" customHeight="1">
      <c r="A24" s="101" t="s">
        <v>92</v>
      </c>
      <c r="B24" s="1574" t="s">
        <v>519</v>
      </c>
      <c r="C24" s="101" t="s">
        <v>198</v>
      </c>
      <c r="D24" s="68"/>
      <c r="E24" s="1862"/>
      <c r="F24" s="1863"/>
      <c r="G24" s="1863"/>
      <c r="H24" s="1863"/>
      <c r="I24" s="1864"/>
    </row>
    <row r="25" spans="1:9" ht="18.399999999999999" customHeight="1">
      <c r="A25" s="101"/>
      <c r="B25" s="1575"/>
      <c r="C25" s="101"/>
      <c r="D25" s="68"/>
      <c r="E25" s="1862"/>
      <c r="F25" s="1863"/>
      <c r="G25" s="1863"/>
      <c r="H25" s="1863"/>
      <c r="I25" s="1864"/>
    </row>
    <row r="26" spans="1:9">
      <c r="A26" s="101" t="s">
        <v>155</v>
      </c>
      <c r="B26" s="196" t="s">
        <v>520</v>
      </c>
      <c r="C26" s="101" t="s">
        <v>35</v>
      </c>
      <c r="D26" s="68"/>
      <c r="E26" s="1862"/>
      <c r="F26" s="1863"/>
      <c r="G26" s="1863"/>
      <c r="H26" s="1863"/>
      <c r="I26" s="1864"/>
    </row>
    <row r="27" spans="1:9" ht="23.25" customHeight="1">
      <c r="A27" s="101" t="s">
        <v>316</v>
      </c>
      <c r="B27" s="1574" t="s">
        <v>521</v>
      </c>
      <c r="C27" s="101" t="s">
        <v>198</v>
      </c>
      <c r="D27" s="68" t="s">
        <v>524</v>
      </c>
      <c r="E27" s="1862"/>
      <c r="F27" s="1863"/>
      <c r="G27" s="1863"/>
      <c r="H27" s="1863"/>
      <c r="I27" s="1864"/>
    </row>
    <row r="28" spans="1:9" ht="19.5" customHeight="1">
      <c r="A28" s="101"/>
      <c r="B28" s="1575"/>
      <c r="C28" s="101"/>
      <c r="D28" s="68"/>
      <c r="E28" s="1862"/>
      <c r="F28" s="1863"/>
      <c r="G28" s="1863"/>
      <c r="H28" s="1863"/>
      <c r="I28" s="1864"/>
    </row>
    <row r="29" spans="1:9">
      <c r="A29" s="101" t="s">
        <v>317</v>
      </c>
      <c r="B29" s="1567" t="s">
        <v>600</v>
      </c>
      <c r="C29" s="101" t="s">
        <v>198</v>
      </c>
      <c r="D29" s="68" t="s">
        <v>525</v>
      </c>
      <c r="E29" s="1862"/>
      <c r="F29" s="1863"/>
      <c r="G29" s="1863"/>
      <c r="H29" s="1863"/>
      <c r="I29" s="1864"/>
    </row>
    <row r="30" spans="1:9">
      <c r="A30" s="7"/>
      <c r="B30" s="1567"/>
      <c r="C30" s="7"/>
      <c r="D30" s="7"/>
      <c r="E30" s="1862"/>
      <c r="F30" s="1863"/>
      <c r="G30" s="1863"/>
      <c r="H30" s="1863"/>
      <c r="I30" s="1864"/>
    </row>
    <row r="31" spans="1:9">
      <c r="A31" s="5" t="s">
        <v>1008</v>
      </c>
      <c r="B31" s="197" t="s">
        <v>1256</v>
      </c>
      <c r="C31" s="1857" t="s">
        <v>1257</v>
      </c>
      <c r="D31" s="1858"/>
      <c r="E31" s="1862"/>
      <c r="F31" s="1863"/>
      <c r="G31" s="1863"/>
      <c r="H31" s="1863"/>
      <c r="I31" s="1864"/>
    </row>
    <row r="32" spans="1:9">
      <c r="A32" s="5" t="s">
        <v>1258</v>
      </c>
      <c r="B32" s="197" t="s">
        <v>1259</v>
      </c>
      <c r="C32" s="1857" t="s">
        <v>1257</v>
      </c>
      <c r="D32" s="1858"/>
      <c r="E32" s="1862"/>
      <c r="F32" s="1863"/>
      <c r="G32" s="1863"/>
      <c r="H32" s="1863"/>
      <c r="I32" s="1864"/>
    </row>
    <row r="33" spans="1:9">
      <c r="A33" s="5" t="s">
        <v>1009</v>
      </c>
      <c r="B33" s="197" t="s">
        <v>1260</v>
      </c>
      <c r="C33" s="1857" t="s">
        <v>1257</v>
      </c>
      <c r="D33" s="1858"/>
      <c r="E33" s="1862"/>
      <c r="F33" s="1863"/>
      <c r="G33" s="1863"/>
      <c r="H33" s="1863"/>
      <c r="I33" s="1864"/>
    </row>
    <row r="34" spans="1:9">
      <c r="A34" s="5" t="s">
        <v>1261</v>
      </c>
      <c r="B34" s="197" t="s">
        <v>1262</v>
      </c>
      <c r="C34" s="5" t="s">
        <v>1263</v>
      </c>
      <c r="D34" s="136" t="s">
        <v>1264</v>
      </c>
      <c r="E34" s="1865"/>
      <c r="F34" s="1866"/>
      <c r="G34" s="1866"/>
      <c r="H34" s="1866"/>
      <c r="I34" s="1867"/>
    </row>
    <row r="35" spans="1:9">
      <c r="A35" s="3" t="s">
        <v>533</v>
      </c>
    </row>
  </sheetData>
  <mergeCells count="20">
    <mergeCell ref="B27:B28"/>
    <mergeCell ref="B29:B30"/>
    <mergeCell ref="C31:D31"/>
    <mergeCell ref="C32:D32"/>
    <mergeCell ref="E8:I34"/>
    <mergeCell ref="C33:D33"/>
    <mergeCell ref="B24:B25"/>
    <mergeCell ref="A1:B1"/>
    <mergeCell ref="A2:F2"/>
    <mergeCell ref="H3:I3"/>
    <mergeCell ref="B22:B23"/>
    <mergeCell ref="A5:A7"/>
    <mergeCell ref="B5:B7"/>
    <mergeCell ref="C5:C7"/>
    <mergeCell ref="D5:D7"/>
    <mergeCell ref="G5:H5"/>
    <mergeCell ref="E6:F6"/>
    <mergeCell ref="G6:H6"/>
    <mergeCell ref="B20:B21"/>
    <mergeCell ref="E5:F5"/>
  </mergeCells>
  <printOptions horizontalCentered="1"/>
  <pageMargins left="0.31496062992125984" right="0.31496062992125984" top="0.35433070866141736" bottom="0.35433070866141736" header="0.31496062992125984" footer="0.31496062992125984"/>
  <pageSetup paperSize="5" scale="9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FFFF"/>
  </sheetPr>
  <dimension ref="A1:G26"/>
  <sheetViews>
    <sheetView view="pageBreakPreview" zoomScaleNormal="100" zoomScaleSheetLayoutView="100" workbookViewId="0">
      <selection activeCell="J20" sqref="J20"/>
    </sheetView>
  </sheetViews>
  <sheetFormatPr defaultColWidth="9.19921875" defaultRowHeight="14.25"/>
  <cols>
    <col min="1" max="1" width="7.796875" customWidth="1"/>
    <col min="2" max="2" width="32.53125" customWidth="1"/>
    <col min="3" max="6" width="13.19921875" customWidth="1"/>
  </cols>
  <sheetData>
    <row r="1" spans="1:7">
      <c r="A1" s="1868" t="s">
        <v>1809</v>
      </c>
      <c r="B1" s="1868"/>
    </row>
    <row r="2" spans="1:7">
      <c r="A2" s="1676" t="str">
        <f>+'BS1'!A2</f>
        <v>NIDP DEVELOPERS PRIVATE LIMITED</v>
      </c>
      <c r="B2" s="1872"/>
      <c r="C2" s="1872"/>
      <c r="D2" s="1872"/>
      <c r="E2" s="1872"/>
      <c r="F2" s="1872"/>
      <c r="G2" s="60"/>
    </row>
    <row r="3" spans="1:7">
      <c r="A3" s="279" t="s">
        <v>201</v>
      </c>
      <c r="B3" s="279"/>
      <c r="C3" s="279"/>
      <c r="D3" s="279"/>
      <c r="E3" s="1875"/>
      <c r="F3" s="1875"/>
      <c r="G3" s="60"/>
    </row>
    <row r="4" spans="1:7">
      <c r="A4" s="3"/>
      <c r="B4" s="9"/>
      <c r="C4" s="9"/>
      <c r="D4" s="9"/>
      <c r="E4" s="1876" t="s">
        <v>93</v>
      </c>
      <c r="F4" s="1876"/>
      <c r="G4" s="60"/>
    </row>
    <row r="5" spans="1:7">
      <c r="A5" s="1869" t="s">
        <v>2082</v>
      </c>
      <c r="B5" s="1870"/>
      <c r="C5" s="1870"/>
      <c r="D5" s="1870"/>
      <c r="E5" s="1870"/>
      <c r="F5" s="1871"/>
      <c r="G5" s="60"/>
    </row>
    <row r="6" spans="1:7" ht="57">
      <c r="A6" s="167" t="s">
        <v>38</v>
      </c>
      <c r="B6" s="155" t="s">
        <v>202</v>
      </c>
      <c r="C6" s="155" t="s">
        <v>203</v>
      </c>
      <c r="D6" s="155" t="s">
        <v>204</v>
      </c>
      <c r="E6" s="155" t="s">
        <v>205</v>
      </c>
      <c r="F6" s="155" t="s">
        <v>206</v>
      </c>
      <c r="G6" s="60"/>
    </row>
    <row r="7" spans="1:7" ht="15" customHeight="1">
      <c r="A7" s="564"/>
      <c r="B7" s="1877" t="s">
        <v>2062</v>
      </c>
      <c r="C7" s="564"/>
      <c r="D7" s="564"/>
      <c r="E7" s="564"/>
      <c r="F7" s="564"/>
      <c r="G7" s="60"/>
    </row>
    <row r="8" spans="1:7" ht="15" customHeight="1">
      <c r="A8" s="564"/>
      <c r="B8" s="1878"/>
      <c r="C8" s="564"/>
      <c r="D8" s="564"/>
      <c r="E8" s="564"/>
      <c r="F8" s="564"/>
      <c r="G8" s="60"/>
    </row>
    <row r="9" spans="1:7" ht="15" customHeight="1">
      <c r="A9" s="564"/>
      <c r="B9" s="1878"/>
      <c r="C9" s="564"/>
      <c r="D9" s="564"/>
      <c r="E9" s="564"/>
      <c r="F9" s="564"/>
      <c r="G9" s="60"/>
    </row>
    <row r="10" spans="1:7" ht="15" customHeight="1">
      <c r="A10" s="564"/>
      <c r="B10" s="1878"/>
      <c r="C10" s="564"/>
      <c r="D10" s="564"/>
      <c r="E10" s="564"/>
      <c r="F10" s="564"/>
      <c r="G10" s="60"/>
    </row>
    <row r="11" spans="1:7" ht="15" customHeight="1">
      <c r="A11" s="564"/>
      <c r="B11" s="1878"/>
      <c r="C11" s="564"/>
      <c r="D11" s="564"/>
      <c r="E11" s="564"/>
      <c r="F11" s="564"/>
      <c r="G11" s="60"/>
    </row>
    <row r="12" spans="1:7" ht="15" customHeight="1">
      <c r="A12" s="564"/>
      <c r="B12" s="1878"/>
      <c r="C12" s="564"/>
      <c r="D12" s="564"/>
      <c r="E12" s="564"/>
      <c r="F12" s="564"/>
      <c r="G12" s="60"/>
    </row>
    <row r="13" spans="1:7" ht="15" customHeight="1">
      <c r="A13" s="564"/>
      <c r="B13" s="1878"/>
      <c r="C13" s="564"/>
      <c r="D13" s="564"/>
      <c r="E13" s="564"/>
      <c r="F13" s="564"/>
      <c r="G13" s="60"/>
    </row>
    <row r="14" spans="1:7" ht="15" customHeight="1">
      <c r="A14" s="564"/>
      <c r="B14" s="1879"/>
      <c r="C14" s="564"/>
      <c r="D14" s="564"/>
      <c r="E14" s="564"/>
      <c r="F14" s="564"/>
      <c r="G14" s="60"/>
    </row>
    <row r="15" spans="1:7">
      <c r="A15" s="1873" t="s">
        <v>1568</v>
      </c>
      <c r="B15" s="1874"/>
      <c r="C15" s="1874"/>
      <c r="D15" s="1874"/>
      <c r="E15" s="1874"/>
      <c r="F15" s="1874"/>
      <c r="G15" s="60"/>
    </row>
    <row r="16" spans="1:7">
      <c r="A16" s="9"/>
      <c r="B16" s="9"/>
      <c r="C16" s="9"/>
      <c r="D16" s="9"/>
      <c r="E16" s="9"/>
      <c r="F16" s="9"/>
      <c r="G16" s="60"/>
    </row>
    <row r="17" spans="1:7">
      <c r="A17" s="9"/>
      <c r="B17" s="9"/>
      <c r="C17" s="9"/>
      <c r="D17" s="9"/>
      <c r="G17" s="60"/>
    </row>
    <row r="18" spans="1:7">
      <c r="A18" s="9"/>
      <c r="B18" s="9"/>
      <c r="C18" s="9"/>
      <c r="D18" s="9"/>
      <c r="E18" s="53"/>
      <c r="F18" s="53"/>
      <c r="G18" s="60"/>
    </row>
    <row r="19" spans="1:7">
      <c r="A19" s="9"/>
      <c r="B19" s="9"/>
      <c r="C19" s="9"/>
      <c r="D19" s="1670"/>
      <c r="E19" s="1670"/>
      <c r="F19" s="1670"/>
      <c r="G19" s="60"/>
    </row>
    <row r="20" spans="1:7">
      <c r="A20" s="9"/>
      <c r="B20" s="9"/>
      <c r="C20" s="9"/>
      <c r="D20" s="9"/>
      <c r="E20" s="9"/>
      <c r="F20" s="9"/>
    </row>
    <row r="21" spans="1:7">
      <c r="A21" s="9"/>
      <c r="B21" s="9"/>
      <c r="C21" s="9"/>
      <c r="D21" s="9"/>
      <c r="E21" s="9"/>
      <c r="F21" s="9"/>
    </row>
    <row r="22" spans="1:7">
      <c r="A22" s="9"/>
      <c r="B22" s="9"/>
      <c r="C22" s="9"/>
      <c r="D22" s="9"/>
      <c r="E22" s="9"/>
      <c r="F22" s="9"/>
    </row>
    <row r="23" spans="1:7">
      <c r="A23" s="9"/>
      <c r="B23" s="9"/>
      <c r="C23" s="9"/>
      <c r="D23" s="9"/>
      <c r="E23" s="9"/>
      <c r="F23" s="9"/>
    </row>
    <row r="24" spans="1:7">
      <c r="A24" s="9"/>
      <c r="B24" s="9"/>
      <c r="C24" s="9"/>
      <c r="D24" s="9"/>
      <c r="E24" s="9"/>
      <c r="F24" s="9"/>
    </row>
    <row r="25" spans="1:7">
      <c r="A25" s="9"/>
      <c r="B25" s="9"/>
      <c r="C25" s="9"/>
      <c r="D25" s="9"/>
      <c r="E25" s="9"/>
      <c r="F25" s="9"/>
    </row>
    <row r="26" spans="1:7">
      <c r="A26" s="9"/>
      <c r="B26" s="9"/>
      <c r="C26" s="9"/>
      <c r="D26" s="9"/>
      <c r="E26" s="9"/>
      <c r="F26" s="9"/>
    </row>
  </sheetData>
  <mergeCells count="8">
    <mergeCell ref="A1:B1"/>
    <mergeCell ref="A5:F5"/>
    <mergeCell ref="D19:F19"/>
    <mergeCell ref="A2:F2"/>
    <mergeCell ref="A15:F15"/>
    <mergeCell ref="E3:F3"/>
    <mergeCell ref="E4:F4"/>
    <mergeCell ref="B7:B14"/>
  </mergeCells>
  <printOptions horizontalCentered="1"/>
  <pageMargins left="0.70866141732283472" right="0.70866141732283472" top="0.74803149606299213" bottom="0.74803149606299213" header="0.31496062992125984" footer="0.31496062992125984"/>
  <pageSetup paperSize="5" scale="14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FFFF"/>
    <pageSetUpPr fitToPage="1"/>
  </sheetPr>
  <dimension ref="A1:T24"/>
  <sheetViews>
    <sheetView zoomScale="85" zoomScaleNormal="85" zoomScaleSheetLayoutView="85" workbookViewId="0">
      <selection activeCell="F10" sqref="F10"/>
    </sheetView>
  </sheetViews>
  <sheetFormatPr defaultColWidth="9.19921875" defaultRowHeight="14.25"/>
  <cols>
    <col min="1" max="1" width="3.19921875" style="63" customWidth="1"/>
    <col min="2" max="2" width="30" style="63" customWidth="1"/>
    <col min="3" max="5" width="13.46484375" style="184" customWidth="1"/>
    <col min="6" max="14" width="13.46484375" style="63" customWidth="1"/>
    <col min="15" max="20" width="13.46484375" customWidth="1"/>
  </cols>
  <sheetData>
    <row r="1" spans="1:20">
      <c r="A1" s="1898" t="s">
        <v>1810</v>
      </c>
      <c r="B1" s="1898"/>
      <c r="C1" s="713"/>
      <c r="D1" s="713"/>
      <c r="E1" s="713"/>
      <c r="Q1" s="1899" t="s">
        <v>93</v>
      </c>
      <c r="R1" s="1899"/>
      <c r="S1" s="1900"/>
    </row>
    <row r="2" spans="1:20">
      <c r="A2" s="1901" t="str">
        <f>+'BS1'!A2</f>
        <v>NIDP DEVELOPERS PRIVATE LIMITED</v>
      </c>
      <c r="B2" s="1902"/>
      <c r="C2" s="1902"/>
      <c r="D2" s="1902"/>
      <c r="E2" s="1902"/>
      <c r="F2" s="1902"/>
      <c r="G2" s="1902"/>
      <c r="H2" s="1902"/>
      <c r="I2" s="1902"/>
      <c r="J2" s="1902"/>
      <c r="K2" s="1902"/>
      <c r="L2" s="1902"/>
      <c r="M2" s="1902"/>
      <c r="N2" s="1902"/>
    </row>
    <row r="3" spans="1:20" ht="15" customHeight="1">
      <c r="A3" s="279" t="s">
        <v>4</v>
      </c>
      <c r="B3" s="279"/>
      <c r="C3" s="664"/>
      <c r="D3" s="664"/>
      <c r="E3" s="664"/>
      <c r="F3" s="176"/>
      <c r="G3" s="176"/>
      <c r="H3" s="176"/>
      <c r="I3" s="176"/>
      <c r="J3" s="176"/>
      <c r="K3" s="176"/>
      <c r="L3" s="150"/>
      <c r="M3" s="150"/>
      <c r="N3" s="150"/>
      <c r="O3" s="150"/>
      <c r="P3" s="150"/>
      <c r="Q3" s="150"/>
      <c r="R3" s="150"/>
      <c r="S3" s="150"/>
      <c r="T3" s="150"/>
    </row>
    <row r="4" spans="1:20">
      <c r="A4" s="61"/>
      <c r="B4" s="61"/>
      <c r="C4" s="714"/>
      <c r="D4" s="714"/>
      <c r="E4" s="714"/>
      <c r="F4" s="61"/>
      <c r="G4" s="61"/>
      <c r="H4" s="61"/>
      <c r="I4" s="61"/>
      <c r="J4" s="61"/>
      <c r="K4" s="61"/>
      <c r="L4" s="1899"/>
      <c r="M4" s="1899"/>
      <c r="N4" s="1900"/>
    </row>
    <row r="5" spans="1:20" ht="15.75">
      <c r="A5" s="1903" t="s">
        <v>74</v>
      </c>
      <c r="B5" s="1903" t="s">
        <v>10</v>
      </c>
      <c r="C5" s="1883" t="s">
        <v>703</v>
      </c>
      <c r="D5" s="1884"/>
      <c r="E5" s="1885"/>
      <c r="F5" s="1880" t="s">
        <v>350</v>
      </c>
      <c r="G5" s="1881"/>
      <c r="H5" s="1881"/>
      <c r="I5" s="1881"/>
      <c r="J5" s="1881"/>
      <c r="K5" s="1881"/>
      <c r="L5" s="1881"/>
      <c r="M5" s="1881"/>
      <c r="N5" s="1882"/>
      <c r="O5" s="1880" t="s">
        <v>344</v>
      </c>
      <c r="P5" s="1881"/>
      <c r="Q5" s="1882"/>
      <c r="R5" s="1880" t="s">
        <v>739</v>
      </c>
      <c r="S5" s="1881"/>
      <c r="T5" s="1882"/>
    </row>
    <row r="6" spans="1:20" ht="15.75">
      <c r="A6" s="1903"/>
      <c r="B6" s="1903"/>
      <c r="C6" s="1883" t="s">
        <v>342</v>
      </c>
      <c r="D6" s="1884"/>
      <c r="E6" s="1885"/>
      <c r="F6" s="1880" t="s">
        <v>343</v>
      </c>
      <c r="G6" s="1881"/>
      <c r="H6" s="1881"/>
      <c r="I6" s="1881"/>
      <c r="J6" s="1881"/>
      <c r="K6" s="1881"/>
      <c r="L6" s="1881"/>
      <c r="M6" s="1881"/>
      <c r="N6" s="1882"/>
      <c r="O6" s="1880" t="s">
        <v>2022</v>
      </c>
      <c r="P6" s="1881"/>
      <c r="Q6" s="1882"/>
      <c r="R6" s="1880" t="s">
        <v>2024</v>
      </c>
      <c r="S6" s="1881"/>
      <c r="T6" s="1882"/>
    </row>
    <row r="7" spans="1:20" ht="15.75">
      <c r="A7" s="1903"/>
      <c r="B7" s="1903"/>
      <c r="C7" s="1886" t="s">
        <v>338</v>
      </c>
      <c r="D7" s="1887"/>
      <c r="E7" s="1888"/>
      <c r="F7" s="1880" t="s">
        <v>337</v>
      </c>
      <c r="G7" s="1881"/>
      <c r="H7" s="1882"/>
      <c r="I7" s="1880" t="s">
        <v>182</v>
      </c>
      <c r="J7" s="1881"/>
      <c r="K7" s="1882"/>
      <c r="L7" s="1880" t="s">
        <v>338</v>
      </c>
      <c r="M7" s="1881"/>
      <c r="N7" s="1882"/>
      <c r="O7" s="1880" t="s">
        <v>346</v>
      </c>
      <c r="P7" s="1881"/>
      <c r="Q7" s="1882"/>
      <c r="R7" s="1880" t="s">
        <v>183</v>
      </c>
      <c r="S7" s="1881"/>
      <c r="T7" s="1882"/>
    </row>
    <row r="8" spans="1:20" ht="47.25">
      <c r="A8" s="1903"/>
      <c r="B8" s="1903"/>
      <c r="C8" s="1189" t="s">
        <v>207</v>
      </c>
      <c r="D8" s="1189" t="s">
        <v>1386</v>
      </c>
      <c r="E8" s="1189" t="s">
        <v>208</v>
      </c>
      <c r="F8" s="1189" t="s">
        <v>207</v>
      </c>
      <c r="G8" s="1189" t="s">
        <v>1386</v>
      </c>
      <c r="H8" s="1189" t="s">
        <v>208</v>
      </c>
      <c r="I8" s="1189" t="s">
        <v>207</v>
      </c>
      <c r="J8" s="1189" t="s">
        <v>1386</v>
      </c>
      <c r="K8" s="1189" t="s">
        <v>208</v>
      </c>
      <c r="L8" s="1189" t="s">
        <v>207</v>
      </c>
      <c r="M8" s="1189" t="s">
        <v>1386</v>
      </c>
      <c r="N8" s="1189" t="s">
        <v>208</v>
      </c>
      <c r="O8" s="1189" t="s">
        <v>207</v>
      </c>
      <c r="P8" s="1189" t="s">
        <v>1386</v>
      </c>
      <c r="Q8" s="1189" t="s">
        <v>208</v>
      </c>
      <c r="R8" s="1189" t="s">
        <v>207</v>
      </c>
      <c r="S8" s="1189" t="s">
        <v>1386</v>
      </c>
      <c r="T8" s="1189" t="s">
        <v>208</v>
      </c>
    </row>
    <row r="9" spans="1:20" ht="31.5">
      <c r="A9" s="1190">
        <v>1</v>
      </c>
      <c r="B9" s="1191" t="s">
        <v>1404</v>
      </c>
      <c r="C9" s="1889" t="s">
        <v>2062</v>
      </c>
      <c r="D9" s="1890"/>
      <c r="E9" s="1891"/>
      <c r="F9" s="1192"/>
      <c r="G9" s="1192"/>
      <c r="H9" s="1192">
        <f>+F9+G9</f>
        <v>0</v>
      </c>
      <c r="I9" s="1193">
        <f>+[3]CAPEX!$D$53</f>
        <v>35.919103</v>
      </c>
      <c r="J9" s="1193">
        <f>[3]CAPEX!$J$53</f>
        <v>1.692846659</v>
      </c>
      <c r="K9" s="1192">
        <f>+H9+I9-J9</f>
        <v>34.226256341000003</v>
      </c>
      <c r="L9" s="1192">
        <f>+I9</f>
        <v>35.919103</v>
      </c>
      <c r="M9" s="1192">
        <f>+J9</f>
        <v>1.692846659</v>
      </c>
      <c r="N9" s="1192">
        <f>+L9-M9</f>
        <v>34.226256341000003</v>
      </c>
      <c r="O9" s="1192">
        <v>0</v>
      </c>
      <c r="P9" s="1192">
        <f>[3]CAPEX!$K$53</f>
        <v>1.8965286384</v>
      </c>
      <c r="Q9" s="1192">
        <f>+N9+O9-P9</f>
        <v>32.329727702600003</v>
      </c>
      <c r="R9" s="1192">
        <v>0</v>
      </c>
      <c r="S9" s="1192">
        <f>[3]CAPEX!$L$53</f>
        <v>1.8965286384</v>
      </c>
      <c r="T9" s="1192">
        <f>+Q9+R9-S9</f>
        <v>30.433199064200004</v>
      </c>
    </row>
    <row r="10" spans="1:20" ht="31.5">
      <c r="A10" s="1190">
        <v>2</v>
      </c>
      <c r="B10" s="1191" t="s">
        <v>530</v>
      </c>
      <c r="C10" s="1892"/>
      <c r="D10" s="1893"/>
      <c r="E10" s="1894"/>
      <c r="F10" s="1192"/>
      <c r="G10" s="1192"/>
      <c r="H10" s="1192"/>
      <c r="I10" s="1193"/>
      <c r="J10" s="1193"/>
      <c r="K10" s="1192">
        <f t="shared" ref="K10:K12" si="0">+I10-J10</f>
        <v>0</v>
      </c>
      <c r="L10" s="1192"/>
      <c r="M10" s="1192"/>
      <c r="N10" s="1192">
        <f t="shared" ref="N10:N12" si="1">L10-M10</f>
        <v>0</v>
      </c>
      <c r="O10" s="1192"/>
      <c r="P10" s="1192"/>
      <c r="Q10" s="1192">
        <f t="shared" ref="Q10:Q12" si="2">N10+O10-P10</f>
        <v>0</v>
      </c>
      <c r="R10" s="1192"/>
      <c r="S10" s="1192"/>
      <c r="T10" s="1192">
        <f t="shared" ref="T10:T12" si="3">Q10+R10-S10</f>
        <v>0</v>
      </c>
    </row>
    <row r="11" spans="1:20" ht="31.5">
      <c r="A11" s="1190">
        <v>3</v>
      </c>
      <c r="B11" s="1191" t="s">
        <v>529</v>
      </c>
      <c r="C11" s="1892"/>
      <c r="D11" s="1893"/>
      <c r="E11" s="1894"/>
      <c r="F11" s="1192"/>
      <c r="G11" s="1192"/>
      <c r="H11" s="1192"/>
      <c r="I11" s="1193"/>
      <c r="J11" s="1193"/>
      <c r="K11" s="1192">
        <f t="shared" si="0"/>
        <v>0</v>
      </c>
      <c r="L11" s="1192"/>
      <c r="M11" s="1192"/>
      <c r="N11" s="1192">
        <f t="shared" si="1"/>
        <v>0</v>
      </c>
      <c r="O11" s="1192"/>
      <c r="P11" s="1192"/>
      <c r="Q11" s="1192">
        <f t="shared" si="2"/>
        <v>0</v>
      </c>
      <c r="R11" s="1192"/>
      <c r="S11" s="1192"/>
      <c r="T11" s="1192">
        <f t="shared" si="3"/>
        <v>0</v>
      </c>
    </row>
    <row r="12" spans="1:20" ht="31.5">
      <c r="A12" s="1190">
        <v>4</v>
      </c>
      <c r="B12" s="1191" t="s">
        <v>531</v>
      </c>
      <c r="C12" s="1895"/>
      <c r="D12" s="1896"/>
      <c r="E12" s="1897"/>
      <c r="F12" s="1192"/>
      <c r="G12" s="1192"/>
      <c r="H12" s="1192"/>
      <c r="I12" s="1193"/>
      <c r="J12" s="1193"/>
      <c r="K12" s="1192">
        <f t="shared" si="0"/>
        <v>0</v>
      </c>
      <c r="L12" s="1192"/>
      <c r="M12" s="1192"/>
      <c r="N12" s="1192">
        <f t="shared" si="1"/>
        <v>0</v>
      </c>
      <c r="O12" s="1192"/>
      <c r="P12" s="1192"/>
      <c r="Q12" s="1192">
        <f t="shared" si="2"/>
        <v>0</v>
      </c>
      <c r="R12" s="1192"/>
      <c r="S12" s="1192"/>
      <c r="T12" s="1192">
        <f t="shared" si="3"/>
        <v>0</v>
      </c>
    </row>
    <row r="13" spans="1:20" s="2" customFormat="1" ht="15.75">
      <c r="A13" s="1194"/>
      <c r="B13" s="1194" t="s">
        <v>209</v>
      </c>
      <c r="C13" s="1195">
        <f t="shared" ref="C13:E13" si="4">SUM(C9:C12)</f>
        <v>0</v>
      </c>
      <c r="D13" s="1195">
        <f t="shared" si="4"/>
        <v>0</v>
      </c>
      <c r="E13" s="1195">
        <f t="shared" si="4"/>
        <v>0</v>
      </c>
      <c r="F13" s="1196">
        <f t="shared" ref="F13:K13" si="5">SUM(F9:F12)</f>
        <v>0</v>
      </c>
      <c r="G13" s="1196">
        <f t="shared" si="5"/>
        <v>0</v>
      </c>
      <c r="H13" s="1196">
        <f t="shared" si="5"/>
        <v>0</v>
      </c>
      <c r="I13" s="1196">
        <f t="shared" si="5"/>
        <v>35.919103</v>
      </c>
      <c r="J13" s="1196">
        <f t="shared" si="5"/>
        <v>1.692846659</v>
      </c>
      <c r="K13" s="1196">
        <f t="shared" si="5"/>
        <v>34.226256341000003</v>
      </c>
      <c r="L13" s="1196">
        <f>SUM(L9:L12)</f>
        <v>35.919103</v>
      </c>
      <c r="M13" s="1196">
        <f t="shared" ref="M13:Q13" si="6">SUM(M9:M12)</f>
        <v>1.692846659</v>
      </c>
      <c r="N13" s="1196">
        <f t="shared" si="6"/>
        <v>34.226256341000003</v>
      </c>
      <c r="O13" s="1196">
        <f t="shared" si="6"/>
        <v>0</v>
      </c>
      <c r="P13" s="1196">
        <f t="shared" si="6"/>
        <v>1.8965286384</v>
      </c>
      <c r="Q13" s="1196">
        <f t="shared" si="6"/>
        <v>32.329727702600003</v>
      </c>
      <c r="R13" s="1196">
        <f t="shared" ref="R13:T13" si="7">SUM(R9:R12)</f>
        <v>0</v>
      </c>
      <c r="S13" s="1196">
        <f t="shared" si="7"/>
        <v>1.8965286384</v>
      </c>
      <c r="T13" s="1196">
        <f t="shared" si="7"/>
        <v>30.433199064200004</v>
      </c>
    </row>
    <row r="14" spans="1:20">
      <c r="A14" s="65"/>
      <c r="B14" s="72"/>
      <c r="C14" s="72"/>
      <c r="D14" s="72"/>
      <c r="E14" s="72"/>
      <c r="F14" s="113"/>
      <c r="G14" s="113"/>
      <c r="H14" s="113"/>
      <c r="I14" s="113"/>
      <c r="J14" s="113"/>
      <c r="K14" s="113"/>
      <c r="L14" s="113"/>
      <c r="M14" s="113"/>
      <c r="N14" s="113"/>
      <c r="O14" s="56"/>
      <c r="P14" s="56"/>
      <c r="R14" s="56"/>
      <c r="S14" s="56"/>
    </row>
    <row r="15" spans="1:20">
      <c r="A15" s="62"/>
      <c r="B15" s="62"/>
      <c r="C15" s="687"/>
      <c r="D15" s="687"/>
      <c r="E15" s="687"/>
      <c r="F15" s="62"/>
      <c r="G15" s="62"/>
      <c r="H15" s="62"/>
      <c r="I15" s="62"/>
      <c r="J15" s="62"/>
      <c r="K15" s="62"/>
      <c r="L15" s="62"/>
      <c r="M15" s="62"/>
      <c r="N15"/>
    </row>
    <row r="16" spans="1:20">
      <c r="A16" s="62"/>
      <c r="B16" s="62"/>
      <c r="C16" s="816"/>
      <c r="D16" s="816"/>
      <c r="E16" s="816"/>
      <c r="F16" s="817"/>
      <c r="G16" s="817"/>
      <c r="H16" s="62"/>
      <c r="I16" s="62"/>
      <c r="J16" s="62"/>
    </row>
    <row r="17" spans="1:14">
      <c r="A17" s="62"/>
      <c r="B17" s="62"/>
      <c r="C17" s="687"/>
      <c r="D17" s="687"/>
      <c r="E17" s="687"/>
      <c r="F17" s="62"/>
      <c r="G17" s="62"/>
      <c r="H17" s="62"/>
      <c r="I17" s="2"/>
      <c r="J17" s="2"/>
      <c r="K17" s="2"/>
      <c r="L17" s="2"/>
      <c r="M17" s="2"/>
      <c r="N17" s="2"/>
    </row>
    <row r="18" spans="1:14">
      <c r="A18" s="62"/>
      <c r="B18" s="62"/>
      <c r="C18" s="687"/>
      <c r="D18" s="687"/>
      <c r="E18" s="687"/>
      <c r="F18" s="62"/>
      <c r="G18" s="62"/>
      <c r="H18" s="62"/>
      <c r="I18" s="62"/>
      <c r="J18" s="62"/>
      <c r="K18" s="62"/>
      <c r="L18" s="62"/>
      <c r="M18" s="62"/>
      <c r="N18" s="62"/>
    </row>
    <row r="19" spans="1:14">
      <c r="A19" s="62"/>
      <c r="B19" s="62"/>
      <c r="C19" s="687"/>
      <c r="D19" s="687"/>
      <c r="E19" s="687"/>
      <c r="F19" s="62"/>
      <c r="G19" s="62"/>
      <c r="H19" s="62"/>
      <c r="I19" s="62"/>
      <c r="J19" s="62"/>
      <c r="K19" s="62"/>
      <c r="L19" s="62"/>
      <c r="M19" s="62"/>
      <c r="N19" s="62"/>
    </row>
    <row r="20" spans="1:14">
      <c r="A20" s="62"/>
      <c r="B20" s="62"/>
      <c r="C20" s="687"/>
      <c r="D20" s="687"/>
      <c r="E20" s="687"/>
      <c r="F20" s="62"/>
      <c r="G20" s="62"/>
      <c r="H20" s="62"/>
      <c r="I20" s="62"/>
      <c r="J20" s="62"/>
      <c r="K20" s="62"/>
      <c r="L20" s="62"/>
      <c r="M20" s="62"/>
      <c r="N20" s="62"/>
    </row>
    <row r="21" spans="1:14">
      <c r="A21" s="62"/>
      <c r="B21" s="62"/>
      <c r="C21" s="687"/>
      <c r="D21" s="687"/>
      <c r="E21" s="687"/>
      <c r="F21" s="62"/>
      <c r="G21" s="62"/>
      <c r="H21" s="62"/>
      <c r="I21" s="62"/>
      <c r="J21" s="62"/>
      <c r="K21" s="62"/>
      <c r="L21" s="62"/>
      <c r="M21" s="62"/>
      <c r="N21" s="62"/>
    </row>
    <row r="22" spans="1:14">
      <c r="A22" s="62"/>
      <c r="B22" s="62"/>
      <c r="C22" s="687"/>
      <c r="D22" s="687"/>
      <c r="E22" s="687"/>
      <c r="F22" s="62"/>
      <c r="G22" s="62"/>
      <c r="H22" s="62"/>
      <c r="I22" s="62"/>
      <c r="J22" s="62"/>
      <c r="K22" s="62"/>
      <c r="L22" s="62"/>
      <c r="M22" s="62"/>
      <c r="N22" s="62"/>
    </row>
    <row r="23" spans="1:14">
      <c r="A23" s="62"/>
      <c r="B23" s="62"/>
      <c r="C23" s="687"/>
      <c r="D23" s="687"/>
      <c r="E23" s="687"/>
      <c r="F23" s="62"/>
      <c r="G23" s="62"/>
      <c r="H23" s="62"/>
      <c r="I23" s="62"/>
      <c r="J23" s="62"/>
      <c r="K23" s="62"/>
      <c r="L23" s="62"/>
      <c r="M23" s="62"/>
      <c r="N23" s="62"/>
    </row>
    <row r="24" spans="1:14" ht="108.75" customHeight="1">
      <c r="A24" s="62"/>
      <c r="B24" s="62"/>
      <c r="C24" s="687"/>
      <c r="D24" s="687"/>
      <c r="E24" s="687"/>
      <c r="F24" s="62"/>
      <c r="G24" s="62"/>
      <c r="H24" s="62"/>
      <c r="I24" s="62"/>
      <c r="J24" s="62"/>
      <c r="K24" s="62"/>
      <c r="L24" s="62"/>
      <c r="M24" s="62"/>
      <c r="N24" s="62"/>
    </row>
  </sheetData>
  <mergeCells count="21">
    <mergeCell ref="C9:E12"/>
    <mergeCell ref="A1:B1"/>
    <mergeCell ref="Q1:S1"/>
    <mergeCell ref="O5:Q5"/>
    <mergeCell ref="R5:T5"/>
    <mergeCell ref="A2:N2"/>
    <mergeCell ref="L4:N4"/>
    <mergeCell ref="A5:A8"/>
    <mergeCell ref="B5:B8"/>
    <mergeCell ref="O7:Q7"/>
    <mergeCell ref="R7:T7"/>
    <mergeCell ref="F7:H7"/>
    <mergeCell ref="F6:N6"/>
    <mergeCell ref="O6:Q6"/>
    <mergeCell ref="R6:T6"/>
    <mergeCell ref="I7:K7"/>
    <mergeCell ref="L7:N7"/>
    <mergeCell ref="C5:E5"/>
    <mergeCell ref="C7:E7"/>
    <mergeCell ref="C6:E6"/>
    <mergeCell ref="F5:N5"/>
  </mergeCells>
  <printOptions horizontalCentered="1"/>
  <pageMargins left="0.70866141732283472" right="0.70866141732283472" top="0.74803149606299213" bottom="0.74803149606299213" header="0.31496062992125984" footer="0.31496062992125984"/>
  <pageSetup paperSize="5" scale="58"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FFFF"/>
  </sheetPr>
  <dimension ref="A1:I65"/>
  <sheetViews>
    <sheetView view="pageBreakPreview" zoomScale="96" zoomScaleNormal="90" zoomScaleSheetLayoutView="96" workbookViewId="0">
      <selection activeCell="A53" sqref="A53"/>
    </sheetView>
  </sheetViews>
  <sheetFormatPr defaultRowHeight="14.25"/>
  <cols>
    <col min="1" max="1" width="38.796875" style="3" customWidth="1"/>
    <col min="2" max="2" width="12.796875" style="3" customWidth="1"/>
    <col min="3" max="3" width="13.796875" style="3" customWidth="1"/>
    <col min="4" max="4" width="14" style="3" customWidth="1"/>
    <col min="5" max="5" width="16.796875" style="3" customWidth="1"/>
    <col min="6" max="6" width="16" style="3" customWidth="1"/>
    <col min="7" max="7" width="14.19921875" style="3" customWidth="1"/>
    <col min="8" max="8" width="17.19921875" style="3" customWidth="1"/>
    <col min="9" max="9" width="19.796875" style="3" customWidth="1"/>
    <col min="10" max="246" width="9.19921875" style="3"/>
    <col min="247" max="247" width="3.796875" style="3" customWidth="1"/>
    <col min="248" max="248" width="12.796875" style="3" customWidth="1"/>
    <col min="249" max="249" width="17.19921875" style="3" customWidth="1"/>
    <col min="250" max="250" width="17.796875" style="3" customWidth="1"/>
    <col min="251" max="251" width="12.796875" style="3" customWidth="1"/>
    <col min="252" max="252" width="13.796875" style="3" customWidth="1"/>
    <col min="253" max="253" width="14" style="3" customWidth="1"/>
    <col min="254" max="254" width="16.796875" style="3" customWidth="1"/>
    <col min="255" max="255" width="21.796875" style="3" customWidth="1"/>
    <col min="256" max="256" width="10.53125" style="3" customWidth="1"/>
    <col min="257" max="262" width="0" style="3" hidden="1" customWidth="1"/>
    <col min="263" max="263" width="14.19921875" style="3" customWidth="1"/>
    <col min="264" max="264" width="13" style="3" customWidth="1"/>
    <col min="265" max="502" width="9.19921875" style="3"/>
    <col min="503" max="503" width="3.796875" style="3" customWidth="1"/>
    <col min="504" max="504" width="12.796875" style="3" customWidth="1"/>
    <col min="505" max="505" width="17.19921875" style="3" customWidth="1"/>
    <col min="506" max="506" width="17.796875" style="3" customWidth="1"/>
    <col min="507" max="507" width="12.796875" style="3" customWidth="1"/>
    <col min="508" max="508" width="13.796875" style="3" customWidth="1"/>
    <col min="509" max="509" width="14" style="3" customWidth="1"/>
    <col min="510" max="510" width="16.796875" style="3" customWidth="1"/>
    <col min="511" max="511" width="21.796875" style="3" customWidth="1"/>
    <col min="512" max="512" width="10.53125" style="3" customWidth="1"/>
    <col min="513" max="518" width="0" style="3" hidden="1" customWidth="1"/>
    <col min="519" max="519" width="14.19921875" style="3" customWidth="1"/>
    <col min="520" max="520" width="13" style="3" customWidth="1"/>
    <col min="521" max="758" width="9.19921875" style="3"/>
    <col min="759" max="759" width="3.796875" style="3" customWidth="1"/>
    <col min="760" max="760" width="12.796875" style="3" customWidth="1"/>
    <col min="761" max="761" width="17.19921875" style="3" customWidth="1"/>
    <col min="762" max="762" width="17.796875" style="3" customWidth="1"/>
    <col min="763" max="763" width="12.796875" style="3" customWidth="1"/>
    <col min="764" max="764" width="13.796875" style="3" customWidth="1"/>
    <col min="765" max="765" width="14" style="3" customWidth="1"/>
    <col min="766" max="766" width="16.796875" style="3" customWidth="1"/>
    <col min="767" max="767" width="21.796875" style="3" customWidth="1"/>
    <col min="768" max="768" width="10.53125" style="3" customWidth="1"/>
    <col min="769" max="774" width="0" style="3" hidden="1" customWidth="1"/>
    <col min="775" max="775" width="14.19921875" style="3" customWidth="1"/>
    <col min="776" max="776" width="13" style="3" customWidth="1"/>
    <col min="777" max="1014" width="9.19921875" style="3"/>
    <col min="1015" max="1015" width="3.796875" style="3" customWidth="1"/>
    <col min="1016" max="1016" width="12.796875" style="3" customWidth="1"/>
    <col min="1017" max="1017" width="17.19921875" style="3" customWidth="1"/>
    <col min="1018" max="1018" width="17.796875" style="3" customWidth="1"/>
    <col min="1019" max="1019" width="12.796875" style="3" customWidth="1"/>
    <col min="1020" max="1020" width="13.796875" style="3" customWidth="1"/>
    <col min="1021" max="1021" width="14" style="3" customWidth="1"/>
    <col min="1022" max="1022" width="16.796875" style="3" customWidth="1"/>
    <col min="1023" max="1023" width="21.796875" style="3" customWidth="1"/>
    <col min="1024" max="1024" width="10.53125" style="3" customWidth="1"/>
    <col min="1025" max="1030" width="0" style="3" hidden="1" customWidth="1"/>
    <col min="1031" max="1031" width="14.19921875" style="3" customWidth="1"/>
    <col min="1032" max="1032" width="13" style="3" customWidth="1"/>
    <col min="1033" max="1270" width="9.19921875" style="3"/>
    <col min="1271" max="1271" width="3.796875" style="3" customWidth="1"/>
    <col min="1272" max="1272" width="12.796875" style="3" customWidth="1"/>
    <col min="1273" max="1273" width="17.19921875" style="3" customWidth="1"/>
    <col min="1274" max="1274" width="17.796875" style="3" customWidth="1"/>
    <col min="1275" max="1275" width="12.796875" style="3" customWidth="1"/>
    <col min="1276" max="1276" width="13.796875" style="3" customWidth="1"/>
    <col min="1277" max="1277" width="14" style="3" customWidth="1"/>
    <col min="1278" max="1278" width="16.796875" style="3" customWidth="1"/>
    <col min="1279" max="1279" width="21.796875" style="3" customWidth="1"/>
    <col min="1280" max="1280" width="10.53125" style="3" customWidth="1"/>
    <col min="1281" max="1286" width="0" style="3" hidden="1" customWidth="1"/>
    <col min="1287" max="1287" width="14.19921875" style="3" customWidth="1"/>
    <col min="1288" max="1288" width="13" style="3" customWidth="1"/>
    <col min="1289" max="1526" width="9.19921875" style="3"/>
    <col min="1527" max="1527" width="3.796875" style="3" customWidth="1"/>
    <col min="1528" max="1528" width="12.796875" style="3" customWidth="1"/>
    <col min="1529" max="1529" width="17.19921875" style="3" customWidth="1"/>
    <col min="1530" max="1530" width="17.796875" style="3" customWidth="1"/>
    <col min="1531" max="1531" width="12.796875" style="3" customWidth="1"/>
    <col min="1532" max="1532" width="13.796875" style="3" customWidth="1"/>
    <col min="1533" max="1533" width="14" style="3" customWidth="1"/>
    <col min="1534" max="1534" width="16.796875" style="3" customWidth="1"/>
    <col min="1535" max="1535" width="21.796875" style="3" customWidth="1"/>
    <col min="1536" max="1536" width="10.53125" style="3" customWidth="1"/>
    <col min="1537" max="1542" width="0" style="3" hidden="1" customWidth="1"/>
    <col min="1543" max="1543" width="14.19921875" style="3" customWidth="1"/>
    <col min="1544" max="1544" width="13" style="3" customWidth="1"/>
    <col min="1545" max="1782" width="9.19921875" style="3"/>
    <col min="1783" max="1783" width="3.796875" style="3" customWidth="1"/>
    <col min="1784" max="1784" width="12.796875" style="3" customWidth="1"/>
    <col min="1785" max="1785" width="17.19921875" style="3" customWidth="1"/>
    <col min="1786" max="1786" width="17.796875" style="3" customWidth="1"/>
    <col min="1787" max="1787" width="12.796875" style="3" customWidth="1"/>
    <col min="1788" max="1788" width="13.796875" style="3" customWidth="1"/>
    <col min="1789" max="1789" width="14" style="3" customWidth="1"/>
    <col min="1790" max="1790" width="16.796875" style="3" customWidth="1"/>
    <col min="1791" max="1791" width="21.796875" style="3" customWidth="1"/>
    <col min="1792" max="1792" width="10.53125" style="3" customWidth="1"/>
    <col min="1793" max="1798" width="0" style="3" hidden="1" customWidth="1"/>
    <col min="1799" max="1799" width="14.19921875" style="3" customWidth="1"/>
    <col min="1800" max="1800" width="13" style="3" customWidth="1"/>
    <col min="1801" max="2038" width="9.19921875" style="3"/>
    <col min="2039" max="2039" width="3.796875" style="3" customWidth="1"/>
    <col min="2040" max="2040" width="12.796875" style="3" customWidth="1"/>
    <col min="2041" max="2041" width="17.19921875" style="3" customWidth="1"/>
    <col min="2042" max="2042" width="17.796875" style="3" customWidth="1"/>
    <col min="2043" max="2043" width="12.796875" style="3" customWidth="1"/>
    <col min="2044" max="2044" width="13.796875" style="3" customWidth="1"/>
    <col min="2045" max="2045" width="14" style="3" customWidth="1"/>
    <col min="2046" max="2046" width="16.796875" style="3" customWidth="1"/>
    <col min="2047" max="2047" width="21.796875" style="3" customWidth="1"/>
    <col min="2048" max="2048" width="10.53125" style="3" customWidth="1"/>
    <col min="2049" max="2054" width="0" style="3" hidden="1" customWidth="1"/>
    <col min="2055" max="2055" width="14.19921875" style="3" customWidth="1"/>
    <col min="2056" max="2056" width="13" style="3" customWidth="1"/>
    <col min="2057" max="2294" width="9.19921875" style="3"/>
    <col min="2295" max="2295" width="3.796875" style="3" customWidth="1"/>
    <col min="2296" max="2296" width="12.796875" style="3" customWidth="1"/>
    <col min="2297" max="2297" width="17.19921875" style="3" customWidth="1"/>
    <col min="2298" max="2298" width="17.796875" style="3" customWidth="1"/>
    <col min="2299" max="2299" width="12.796875" style="3" customWidth="1"/>
    <col min="2300" max="2300" width="13.796875" style="3" customWidth="1"/>
    <col min="2301" max="2301" width="14" style="3" customWidth="1"/>
    <col min="2302" max="2302" width="16.796875" style="3" customWidth="1"/>
    <col min="2303" max="2303" width="21.796875" style="3" customWidth="1"/>
    <col min="2304" max="2304" width="10.53125" style="3" customWidth="1"/>
    <col min="2305" max="2310" width="0" style="3" hidden="1" customWidth="1"/>
    <col min="2311" max="2311" width="14.19921875" style="3" customWidth="1"/>
    <col min="2312" max="2312" width="13" style="3" customWidth="1"/>
    <col min="2313" max="2550" width="9.19921875" style="3"/>
    <col min="2551" max="2551" width="3.796875" style="3" customWidth="1"/>
    <col min="2552" max="2552" width="12.796875" style="3" customWidth="1"/>
    <col min="2553" max="2553" width="17.19921875" style="3" customWidth="1"/>
    <col min="2554" max="2554" width="17.796875" style="3" customWidth="1"/>
    <col min="2555" max="2555" width="12.796875" style="3" customWidth="1"/>
    <col min="2556" max="2556" width="13.796875" style="3" customWidth="1"/>
    <col min="2557" max="2557" width="14" style="3" customWidth="1"/>
    <col min="2558" max="2558" width="16.796875" style="3" customWidth="1"/>
    <col min="2559" max="2559" width="21.796875" style="3" customWidth="1"/>
    <col min="2560" max="2560" width="10.53125" style="3" customWidth="1"/>
    <col min="2561" max="2566" width="0" style="3" hidden="1" customWidth="1"/>
    <col min="2567" max="2567" width="14.19921875" style="3" customWidth="1"/>
    <col min="2568" max="2568" width="13" style="3" customWidth="1"/>
    <col min="2569" max="2806" width="9.19921875" style="3"/>
    <col min="2807" max="2807" width="3.796875" style="3" customWidth="1"/>
    <col min="2808" max="2808" width="12.796875" style="3" customWidth="1"/>
    <col min="2809" max="2809" width="17.19921875" style="3" customWidth="1"/>
    <col min="2810" max="2810" width="17.796875" style="3" customWidth="1"/>
    <col min="2811" max="2811" width="12.796875" style="3" customWidth="1"/>
    <col min="2812" max="2812" width="13.796875" style="3" customWidth="1"/>
    <col min="2813" max="2813" width="14" style="3" customWidth="1"/>
    <col min="2814" max="2814" width="16.796875" style="3" customWidth="1"/>
    <col min="2815" max="2815" width="21.796875" style="3" customWidth="1"/>
    <col min="2816" max="2816" width="10.53125" style="3" customWidth="1"/>
    <col min="2817" max="2822" width="0" style="3" hidden="1" customWidth="1"/>
    <col min="2823" max="2823" width="14.19921875" style="3" customWidth="1"/>
    <col min="2824" max="2824" width="13" style="3" customWidth="1"/>
    <col min="2825" max="3062" width="9.19921875" style="3"/>
    <col min="3063" max="3063" width="3.796875" style="3" customWidth="1"/>
    <col min="3064" max="3064" width="12.796875" style="3" customWidth="1"/>
    <col min="3065" max="3065" width="17.19921875" style="3" customWidth="1"/>
    <col min="3066" max="3066" width="17.796875" style="3" customWidth="1"/>
    <col min="3067" max="3067" width="12.796875" style="3" customWidth="1"/>
    <col min="3068" max="3068" width="13.796875" style="3" customWidth="1"/>
    <col min="3069" max="3069" width="14" style="3" customWidth="1"/>
    <col min="3070" max="3070" width="16.796875" style="3" customWidth="1"/>
    <col min="3071" max="3071" width="21.796875" style="3" customWidth="1"/>
    <col min="3072" max="3072" width="10.53125" style="3" customWidth="1"/>
    <col min="3073" max="3078" width="0" style="3" hidden="1" customWidth="1"/>
    <col min="3079" max="3079" width="14.19921875" style="3" customWidth="1"/>
    <col min="3080" max="3080" width="13" style="3" customWidth="1"/>
    <col min="3081" max="3318" width="9.19921875" style="3"/>
    <col min="3319" max="3319" width="3.796875" style="3" customWidth="1"/>
    <col min="3320" max="3320" width="12.796875" style="3" customWidth="1"/>
    <col min="3321" max="3321" width="17.19921875" style="3" customWidth="1"/>
    <col min="3322" max="3322" width="17.796875" style="3" customWidth="1"/>
    <col min="3323" max="3323" width="12.796875" style="3" customWidth="1"/>
    <col min="3324" max="3324" width="13.796875" style="3" customWidth="1"/>
    <col min="3325" max="3325" width="14" style="3" customWidth="1"/>
    <col min="3326" max="3326" width="16.796875" style="3" customWidth="1"/>
    <col min="3327" max="3327" width="21.796875" style="3" customWidth="1"/>
    <col min="3328" max="3328" width="10.53125" style="3" customWidth="1"/>
    <col min="3329" max="3334" width="0" style="3" hidden="1" customWidth="1"/>
    <col min="3335" max="3335" width="14.19921875" style="3" customWidth="1"/>
    <col min="3336" max="3336" width="13" style="3" customWidth="1"/>
    <col min="3337" max="3574" width="9.19921875" style="3"/>
    <col min="3575" max="3575" width="3.796875" style="3" customWidth="1"/>
    <col min="3576" max="3576" width="12.796875" style="3" customWidth="1"/>
    <col min="3577" max="3577" width="17.19921875" style="3" customWidth="1"/>
    <col min="3578" max="3578" width="17.796875" style="3" customWidth="1"/>
    <col min="3579" max="3579" width="12.796875" style="3" customWidth="1"/>
    <col min="3580" max="3580" width="13.796875" style="3" customWidth="1"/>
    <col min="3581" max="3581" width="14" style="3" customWidth="1"/>
    <col min="3582" max="3582" width="16.796875" style="3" customWidth="1"/>
    <col min="3583" max="3583" width="21.796875" style="3" customWidth="1"/>
    <col min="3584" max="3584" width="10.53125" style="3" customWidth="1"/>
    <col min="3585" max="3590" width="0" style="3" hidden="1" customWidth="1"/>
    <col min="3591" max="3591" width="14.19921875" style="3" customWidth="1"/>
    <col min="3592" max="3592" width="13" style="3" customWidth="1"/>
    <col min="3593" max="3830" width="9.19921875" style="3"/>
    <col min="3831" max="3831" width="3.796875" style="3" customWidth="1"/>
    <col min="3832" max="3832" width="12.796875" style="3" customWidth="1"/>
    <col min="3833" max="3833" width="17.19921875" style="3" customWidth="1"/>
    <col min="3834" max="3834" width="17.796875" style="3" customWidth="1"/>
    <col min="3835" max="3835" width="12.796875" style="3" customWidth="1"/>
    <col min="3836" max="3836" width="13.796875" style="3" customWidth="1"/>
    <col min="3837" max="3837" width="14" style="3" customWidth="1"/>
    <col min="3838" max="3838" width="16.796875" style="3" customWidth="1"/>
    <col min="3839" max="3839" width="21.796875" style="3" customWidth="1"/>
    <col min="3840" max="3840" width="10.53125" style="3" customWidth="1"/>
    <col min="3841" max="3846" width="0" style="3" hidden="1" customWidth="1"/>
    <col min="3847" max="3847" width="14.19921875" style="3" customWidth="1"/>
    <col min="3848" max="3848" width="13" style="3" customWidth="1"/>
    <col min="3849" max="4086" width="9.19921875" style="3"/>
    <col min="4087" max="4087" width="3.796875" style="3" customWidth="1"/>
    <col min="4088" max="4088" width="12.796875" style="3" customWidth="1"/>
    <col min="4089" max="4089" width="17.19921875" style="3" customWidth="1"/>
    <col min="4090" max="4090" width="17.796875" style="3" customWidth="1"/>
    <col min="4091" max="4091" width="12.796875" style="3" customWidth="1"/>
    <col min="4092" max="4092" width="13.796875" style="3" customWidth="1"/>
    <col min="4093" max="4093" width="14" style="3" customWidth="1"/>
    <col min="4094" max="4094" width="16.796875" style="3" customWidth="1"/>
    <col min="4095" max="4095" width="21.796875" style="3" customWidth="1"/>
    <col min="4096" max="4096" width="10.53125" style="3" customWidth="1"/>
    <col min="4097" max="4102" width="0" style="3" hidden="1" customWidth="1"/>
    <col min="4103" max="4103" width="14.19921875" style="3" customWidth="1"/>
    <col min="4104" max="4104" width="13" style="3" customWidth="1"/>
    <col min="4105" max="4342" width="9.19921875" style="3"/>
    <col min="4343" max="4343" width="3.796875" style="3" customWidth="1"/>
    <col min="4344" max="4344" width="12.796875" style="3" customWidth="1"/>
    <col min="4345" max="4345" width="17.19921875" style="3" customWidth="1"/>
    <col min="4346" max="4346" width="17.796875" style="3" customWidth="1"/>
    <col min="4347" max="4347" width="12.796875" style="3" customWidth="1"/>
    <col min="4348" max="4348" width="13.796875" style="3" customWidth="1"/>
    <col min="4349" max="4349" width="14" style="3" customWidth="1"/>
    <col min="4350" max="4350" width="16.796875" style="3" customWidth="1"/>
    <col min="4351" max="4351" width="21.796875" style="3" customWidth="1"/>
    <col min="4352" max="4352" width="10.53125" style="3" customWidth="1"/>
    <col min="4353" max="4358" width="0" style="3" hidden="1" customWidth="1"/>
    <col min="4359" max="4359" width="14.19921875" style="3" customWidth="1"/>
    <col min="4360" max="4360" width="13" style="3" customWidth="1"/>
    <col min="4361" max="4598" width="9.19921875" style="3"/>
    <col min="4599" max="4599" width="3.796875" style="3" customWidth="1"/>
    <col min="4600" max="4600" width="12.796875" style="3" customWidth="1"/>
    <col min="4601" max="4601" width="17.19921875" style="3" customWidth="1"/>
    <col min="4602" max="4602" width="17.796875" style="3" customWidth="1"/>
    <col min="4603" max="4603" width="12.796875" style="3" customWidth="1"/>
    <col min="4604" max="4604" width="13.796875" style="3" customWidth="1"/>
    <col min="4605" max="4605" width="14" style="3" customWidth="1"/>
    <col min="4606" max="4606" width="16.796875" style="3" customWidth="1"/>
    <col min="4607" max="4607" width="21.796875" style="3" customWidth="1"/>
    <col min="4608" max="4608" width="10.53125" style="3" customWidth="1"/>
    <col min="4609" max="4614" width="0" style="3" hidden="1" customWidth="1"/>
    <col min="4615" max="4615" width="14.19921875" style="3" customWidth="1"/>
    <col min="4616" max="4616" width="13" style="3" customWidth="1"/>
    <col min="4617" max="4854" width="9.19921875" style="3"/>
    <col min="4855" max="4855" width="3.796875" style="3" customWidth="1"/>
    <col min="4856" max="4856" width="12.796875" style="3" customWidth="1"/>
    <col min="4857" max="4857" width="17.19921875" style="3" customWidth="1"/>
    <col min="4858" max="4858" width="17.796875" style="3" customWidth="1"/>
    <col min="4859" max="4859" width="12.796875" style="3" customWidth="1"/>
    <col min="4860" max="4860" width="13.796875" style="3" customWidth="1"/>
    <col min="4861" max="4861" width="14" style="3" customWidth="1"/>
    <col min="4862" max="4862" width="16.796875" style="3" customWidth="1"/>
    <col min="4863" max="4863" width="21.796875" style="3" customWidth="1"/>
    <col min="4864" max="4864" width="10.53125" style="3" customWidth="1"/>
    <col min="4865" max="4870" width="0" style="3" hidden="1" customWidth="1"/>
    <col min="4871" max="4871" width="14.19921875" style="3" customWidth="1"/>
    <col min="4872" max="4872" width="13" style="3" customWidth="1"/>
    <col min="4873" max="5110" width="9.19921875" style="3"/>
    <col min="5111" max="5111" width="3.796875" style="3" customWidth="1"/>
    <col min="5112" max="5112" width="12.796875" style="3" customWidth="1"/>
    <col min="5113" max="5113" width="17.19921875" style="3" customWidth="1"/>
    <col min="5114" max="5114" width="17.796875" style="3" customWidth="1"/>
    <col min="5115" max="5115" width="12.796875" style="3" customWidth="1"/>
    <col min="5116" max="5116" width="13.796875" style="3" customWidth="1"/>
    <col min="5117" max="5117" width="14" style="3" customWidth="1"/>
    <col min="5118" max="5118" width="16.796875" style="3" customWidth="1"/>
    <col min="5119" max="5119" width="21.796875" style="3" customWidth="1"/>
    <col min="5120" max="5120" width="10.53125" style="3" customWidth="1"/>
    <col min="5121" max="5126" width="0" style="3" hidden="1" customWidth="1"/>
    <col min="5127" max="5127" width="14.19921875" style="3" customWidth="1"/>
    <col min="5128" max="5128" width="13" style="3" customWidth="1"/>
    <col min="5129" max="5366" width="9.19921875" style="3"/>
    <col min="5367" max="5367" width="3.796875" style="3" customWidth="1"/>
    <col min="5368" max="5368" width="12.796875" style="3" customWidth="1"/>
    <col min="5369" max="5369" width="17.19921875" style="3" customWidth="1"/>
    <col min="5370" max="5370" width="17.796875" style="3" customWidth="1"/>
    <col min="5371" max="5371" width="12.796875" style="3" customWidth="1"/>
    <col min="5372" max="5372" width="13.796875" style="3" customWidth="1"/>
    <col min="5373" max="5373" width="14" style="3" customWidth="1"/>
    <col min="5374" max="5374" width="16.796875" style="3" customWidth="1"/>
    <col min="5375" max="5375" width="21.796875" style="3" customWidth="1"/>
    <col min="5376" max="5376" width="10.53125" style="3" customWidth="1"/>
    <col min="5377" max="5382" width="0" style="3" hidden="1" customWidth="1"/>
    <col min="5383" max="5383" width="14.19921875" style="3" customWidth="1"/>
    <col min="5384" max="5384" width="13" style="3" customWidth="1"/>
    <col min="5385" max="5622" width="9.19921875" style="3"/>
    <col min="5623" max="5623" width="3.796875" style="3" customWidth="1"/>
    <col min="5624" max="5624" width="12.796875" style="3" customWidth="1"/>
    <col min="5625" max="5625" width="17.19921875" style="3" customWidth="1"/>
    <col min="5626" max="5626" width="17.796875" style="3" customWidth="1"/>
    <col min="5627" max="5627" width="12.796875" style="3" customWidth="1"/>
    <col min="5628" max="5628" width="13.796875" style="3" customWidth="1"/>
    <col min="5629" max="5629" width="14" style="3" customWidth="1"/>
    <col min="5630" max="5630" width="16.796875" style="3" customWidth="1"/>
    <col min="5631" max="5631" width="21.796875" style="3" customWidth="1"/>
    <col min="5632" max="5632" width="10.53125" style="3" customWidth="1"/>
    <col min="5633" max="5638" width="0" style="3" hidden="1" customWidth="1"/>
    <col min="5639" max="5639" width="14.19921875" style="3" customWidth="1"/>
    <col min="5640" max="5640" width="13" style="3" customWidth="1"/>
    <col min="5641" max="5878" width="9.19921875" style="3"/>
    <col min="5879" max="5879" width="3.796875" style="3" customWidth="1"/>
    <col min="5880" max="5880" width="12.796875" style="3" customWidth="1"/>
    <col min="5881" max="5881" width="17.19921875" style="3" customWidth="1"/>
    <col min="5882" max="5882" width="17.796875" style="3" customWidth="1"/>
    <col min="5883" max="5883" width="12.796875" style="3" customWidth="1"/>
    <col min="5884" max="5884" width="13.796875" style="3" customWidth="1"/>
    <col min="5885" max="5885" width="14" style="3" customWidth="1"/>
    <col min="5886" max="5886" width="16.796875" style="3" customWidth="1"/>
    <col min="5887" max="5887" width="21.796875" style="3" customWidth="1"/>
    <col min="5888" max="5888" width="10.53125" style="3" customWidth="1"/>
    <col min="5889" max="5894" width="0" style="3" hidden="1" customWidth="1"/>
    <col min="5895" max="5895" width="14.19921875" style="3" customWidth="1"/>
    <col min="5896" max="5896" width="13" style="3" customWidth="1"/>
    <col min="5897" max="6134" width="9.19921875" style="3"/>
    <col min="6135" max="6135" width="3.796875" style="3" customWidth="1"/>
    <col min="6136" max="6136" width="12.796875" style="3" customWidth="1"/>
    <col min="6137" max="6137" width="17.19921875" style="3" customWidth="1"/>
    <col min="6138" max="6138" width="17.796875" style="3" customWidth="1"/>
    <col min="6139" max="6139" width="12.796875" style="3" customWidth="1"/>
    <col min="6140" max="6140" width="13.796875" style="3" customWidth="1"/>
    <col min="6141" max="6141" width="14" style="3" customWidth="1"/>
    <col min="6142" max="6142" width="16.796875" style="3" customWidth="1"/>
    <col min="6143" max="6143" width="21.796875" style="3" customWidth="1"/>
    <col min="6144" max="6144" width="10.53125" style="3" customWidth="1"/>
    <col min="6145" max="6150" width="0" style="3" hidden="1" customWidth="1"/>
    <col min="6151" max="6151" width="14.19921875" style="3" customWidth="1"/>
    <col min="6152" max="6152" width="13" style="3" customWidth="1"/>
    <col min="6153" max="6390" width="9.19921875" style="3"/>
    <col min="6391" max="6391" width="3.796875" style="3" customWidth="1"/>
    <col min="6392" max="6392" width="12.796875" style="3" customWidth="1"/>
    <col min="6393" max="6393" width="17.19921875" style="3" customWidth="1"/>
    <col min="6394" max="6394" width="17.796875" style="3" customWidth="1"/>
    <col min="6395" max="6395" width="12.796875" style="3" customWidth="1"/>
    <col min="6396" max="6396" width="13.796875" style="3" customWidth="1"/>
    <col min="6397" max="6397" width="14" style="3" customWidth="1"/>
    <col min="6398" max="6398" width="16.796875" style="3" customWidth="1"/>
    <col min="6399" max="6399" width="21.796875" style="3" customWidth="1"/>
    <col min="6400" max="6400" width="10.53125" style="3" customWidth="1"/>
    <col min="6401" max="6406" width="0" style="3" hidden="1" customWidth="1"/>
    <col min="6407" max="6407" width="14.19921875" style="3" customWidth="1"/>
    <col min="6408" max="6408" width="13" style="3" customWidth="1"/>
    <col min="6409" max="6646" width="9.19921875" style="3"/>
    <col min="6647" max="6647" width="3.796875" style="3" customWidth="1"/>
    <col min="6648" max="6648" width="12.796875" style="3" customWidth="1"/>
    <col min="6649" max="6649" width="17.19921875" style="3" customWidth="1"/>
    <col min="6650" max="6650" width="17.796875" style="3" customWidth="1"/>
    <col min="6651" max="6651" width="12.796875" style="3" customWidth="1"/>
    <col min="6652" max="6652" width="13.796875" style="3" customWidth="1"/>
    <col min="6653" max="6653" width="14" style="3" customWidth="1"/>
    <col min="6654" max="6654" width="16.796875" style="3" customWidth="1"/>
    <col min="6655" max="6655" width="21.796875" style="3" customWidth="1"/>
    <col min="6656" max="6656" width="10.53125" style="3" customWidth="1"/>
    <col min="6657" max="6662" width="0" style="3" hidden="1" customWidth="1"/>
    <col min="6663" max="6663" width="14.19921875" style="3" customWidth="1"/>
    <col min="6664" max="6664" width="13" style="3" customWidth="1"/>
    <col min="6665" max="6902" width="9.19921875" style="3"/>
    <col min="6903" max="6903" width="3.796875" style="3" customWidth="1"/>
    <col min="6904" max="6904" width="12.796875" style="3" customWidth="1"/>
    <col min="6905" max="6905" width="17.19921875" style="3" customWidth="1"/>
    <col min="6906" max="6906" width="17.796875" style="3" customWidth="1"/>
    <col min="6907" max="6907" width="12.796875" style="3" customWidth="1"/>
    <col min="6908" max="6908" width="13.796875" style="3" customWidth="1"/>
    <col min="6909" max="6909" width="14" style="3" customWidth="1"/>
    <col min="6910" max="6910" width="16.796875" style="3" customWidth="1"/>
    <col min="6911" max="6911" width="21.796875" style="3" customWidth="1"/>
    <col min="6912" max="6912" width="10.53125" style="3" customWidth="1"/>
    <col min="6913" max="6918" width="0" style="3" hidden="1" customWidth="1"/>
    <col min="6919" max="6919" width="14.19921875" style="3" customWidth="1"/>
    <col min="6920" max="6920" width="13" style="3" customWidth="1"/>
    <col min="6921" max="7158" width="9.19921875" style="3"/>
    <col min="7159" max="7159" width="3.796875" style="3" customWidth="1"/>
    <col min="7160" max="7160" width="12.796875" style="3" customWidth="1"/>
    <col min="7161" max="7161" width="17.19921875" style="3" customWidth="1"/>
    <col min="7162" max="7162" width="17.796875" style="3" customWidth="1"/>
    <col min="7163" max="7163" width="12.796875" style="3" customWidth="1"/>
    <col min="7164" max="7164" width="13.796875" style="3" customWidth="1"/>
    <col min="7165" max="7165" width="14" style="3" customWidth="1"/>
    <col min="7166" max="7166" width="16.796875" style="3" customWidth="1"/>
    <col min="7167" max="7167" width="21.796875" style="3" customWidth="1"/>
    <col min="7168" max="7168" width="10.53125" style="3" customWidth="1"/>
    <col min="7169" max="7174" width="0" style="3" hidden="1" customWidth="1"/>
    <col min="7175" max="7175" width="14.19921875" style="3" customWidth="1"/>
    <col min="7176" max="7176" width="13" style="3" customWidth="1"/>
    <col min="7177" max="7414" width="9.19921875" style="3"/>
    <col min="7415" max="7415" width="3.796875" style="3" customWidth="1"/>
    <col min="7416" max="7416" width="12.796875" style="3" customWidth="1"/>
    <col min="7417" max="7417" width="17.19921875" style="3" customWidth="1"/>
    <col min="7418" max="7418" width="17.796875" style="3" customWidth="1"/>
    <col min="7419" max="7419" width="12.796875" style="3" customWidth="1"/>
    <col min="7420" max="7420" width="13.796875" style="3" customWidth="1"/>
    <col min="7421" max="7421" width="14" style="3" customWidth="1"/>
    <col min="7422" max="7422" width="16.796875" style="3" customWidth="1"/>
    <col min="7423" max="7423" width="21.796875" style="3" customWidth="1"/>
    <col min="7424" max="7424" width="10.53125" style="3" customWidth="1"/>
    <col min="7425" max="7430" width="0" style="3" hidden="1" customWidth="1"/>
    <col min="7431" max="7431" width="14.19921875" style="3" customWidth="1"/>
    <col min="7432" max="7432" width="13" style="3" customWidth="1"/>
    <col min="7433" max="7670" width="9.19921875" style="3"/>
    <col min="7671" max="7671" width="3.796875" style="3" customWidth="1"/>
    <col min="7672" max="7672" width="12.796875" style="3" customWidth="1"/>
    <col min="7673" max="7673" width="17.19921875" style="3" customWidth="1"/>
    <col min="7674" max="7674" width="17.796875" style="3" customWidth="1"/>
    <col min="7675" max="7675" width="12.796875" style="3" customWidth="1"/>
    <col min="7676" max="7676" width="13.796875" style="3" customWidth="1"/>
    <col min="7677" max="7677" width="14" style="3" customWidth="1"/>
    <col min="7678" max="7678" width="16.796875" style="3" customWidth="1"/>
    <col min="7679" max="7679" width="21.796875" style="3" customWidth="1"/>
    <col min="7680" max="7680" width="10.53125" style="3" customWidth="1"/>
    <col min="7681" max="7686" width="0" style="3" hidden="1" customWidth="1"/>
    <col min="7687" max="7687" width="14.19921875" style="3" customWidth="1"/>
    <col min="7688" max="7688" width="13" style="3" customWidth="1"/>
    <col min="7689" max="7926" width="9.19921875" style="3"/>
    <col min="7927" max="7927" width="3.796875" style="3" customWidth="1"/>
    <col min="7928" max="7928" width="12.796875" style="3" customWidth="1"/>
    <col min="7929" max="7929" width="17.19921875" style="3" customWidth="1"/>
    <col min="7930" max="7930" width="17.796875" style="3" customWidth="1"/>
    <col min="7931" max="7931" width="12.796875" style="3" customWidth="1"/>
    <col min="7932" max="7932" width="13.796875" style="3" customWidth="1"/>
    <col min="7933" max="7933" width="14" style="3" customWidth="1"/>
    <col min="7934" max="7934" width="16.796875" style="3" customWidth="1"/>
    <col min="7935" max="7935" width="21.796875" style="3" customWidth="1"/>
    <col min="7936" max="7936" width="10.53125" style="3" customWidth="1"/>
    <col min="7937" max="7942" width="0" style="3" hidden="1" customWidth="1"/>
    <col min="7943" max="7943" width="14.19921875" style="3" customWidth="1"/>
    <col min="7944" max="7944" width="13" style="3" customWidth="1"/>
    <col min="7945" max="8182" width="9.19921875" style="3"/>
    <col min="8183" max="8183" width="3.796875" style="3" customWidth="1"/>
    <col min="8184" max="8184" width="12.796875" style="3" customWidth="1"/>
    <col min="8185" max="8185" width="17.19921875" style="3" customWidth="1"/>
    <col min="8186" max="8186" width="17.796875" style="3" customWidth="1"/>
    <col min="8187" max="8187" width="12.796875" style="3" customWidth="1"/>
    <col min="8188" max="8188" width="13.796875" style="3" customWidth="1"/>
    <col min="8189" max="8189" width="14" style="3" customWidth="1"/>
    <col min="8190" max="8190" width="16.796875" style="3" customWidth="1"/>
    <col min="8191" max="8191" width="21.796875" style="3" customWidth="1"/>
    <col min="8192" max="8192" width="10.53125" style="3" customWidth="1"/>
    <col min="8193" max="8198" width="0" style="3" hidden="1" customWidth="1"/>
    <col min="8199" max="8199" width="14.19921875" style="3" customWidth="1"/>
    <col min="8200" max="8200" width="13" style="3" customWidth="1"/>
    <col min="8201" max="8438" width="9.19921875" style="3"/>
    <col min="8439" max="8439" width="3.796875" style="3" customWidth="1"/>
    <col min="8440" max="8440" width="12.796875" style="3" customWidth="1"/>
    <col min="8441" max="8441" width="17.19921875" style="3" customWidth="1"/>
    <col min="8442" max="8442" width="17.796875" style="3" customWidth="1"/>
    <col min="8443" max="8443" width="12.796875" style="3" customWidth="1"/>
    <col min="8444" max="8444" width="13.796875" style="3" customWidth="1"/>
    <col min="8445" max="8445" width="14" style="3" customWidth="1"/>
    <col min="8446" max="8446" width="16.796875" style="3" customWidth="1"/>
    <col min="8447" max="8447" width="21.796875" style="3" customWidth="1"/>
    <col min="8448" max="8448" width="10.53125" style="3" customWidth="1"/>
    <col min="8449" max="8454" width="0" style="3" hidden="1" customWidth="1"/>
    <col min="8455" max="8455" width="14.19921875" style="3" customWidth="1"/>
    <col min="8456" max="8456" width="13" style="3" customWidth="1"/>
    <col min="8457" max="8694" width="9.19921875" style="3"/>
    <col min="8695" max="8695" width="3.796875" style="3" customWidth="1"/>
    <col min="8696" max="8696" width="12.796875" style="3" customWidth="1"/>
    <col min="8697" max="8697" width="17.19921875" style="3" customWidth="1"/>
    <col min="8698" max="8698" width="17.796875" style="3" customWidth="1"/>
    <col min="8699" max="8699" width="12.796875" style="3" customWidth="1"/>
    <col min="8700" max="8700" width="13.796875" style="3" customWidth="1"/>
    <col min="8701" max="8701" width="14" style="3" customWidth="1"/>
    <col min="8702" max="8702" width="16.796875" style="3" customWidth="1"/>
    <col min="8703" max="8703" width="21.796875" style="3" customWidth="1"/>
    <col min="8704" max="8704" width="10.53125" style="3" customWidth="1"/>
    <col min="8705" max="8710" width="0" style="3" hidden="1" customWidth="1"/>
    <col min="8711" max="8711" width="14.19921875" style="3" customWidth="1"/>
    <col min="8712" max="8712" width="13" style="3" customWidth="1"/>
    <col min="8713" max="8950" width="9.19921875" style="3"/>
    <col min="8951" max="8951" width="3.796875" style="3" customWidth="1"/>
    <col min="8952" max="8952" width="12.796875" style="3" customWidth="1"/>
    <col min="8953" max="8953" width="17.19921875" style="3" customWidth="1"/>
    <col min="8954" max="8954" width="17.796875" style="3" customWidth="1"/>
    <col min="8955" max="8955" width="12.796875" style="3" customWidth="1"/>
    <col min="8956" max="8956" width="13.796875" style="3" customWidth="1"/>
    <col min="8957" max="8957" width="14" style="3" customWidth="1"/>
    <col min="8958" max="8958" width="16.796875" style="3" customWidth="1"/>
    <col min="8959" max="8959" width="21.796875" style="3" customWidth="1"/>
    <col min="8960" max="8960" width="10.53125" style="3" customWidth="1"/>
    <col min="8961" max="8966" width="0" style="3" hidden="1" customWidth="1"/>
    <col min="8967" max="8967" width="14.19921875" style="3" customWidth="1"/>
    <col min="8968" max="8968" width="13" style="3" customWidth="1"/>
    <col min="8969" max="9206" width="9.19921875" style="3"/>
    <col min="9207" max="9207" width="3.796875" style="3" customWidth="1"/>
    <col min="9208" max="9208" width="12.796875" style="3" customWidth="1"/>
    <col min="9209" max="9209" width="17.19921875" style="3" customWidth="1"/>
    <col min="9210" max="9210" width="17.796875" style="3" customWidth="1"/>
    <col min="9211" max="9211" width="12.796875" style="3" customWidth="1"/>
    <col min="9212" max="9212" width="13.796875" style="3" customWidth="1"/>
    <col min="9213" max="9213" width="14" style="3" customWidth="1"/>
    <col min="9214" max="9214" width="16.796875" style="3" customWidth="1"/>
    <col min="9215" max="9215" width="21.796875" style="3" customWidth="1"/>
    <col min="9216" max="9216" width="10.53125" style="3" customWidth="1"/>
    <col min="9217" max="9222" width="0" style="3" hidden="1" customWidth="1"/>
    <col min="9223" max="9223" width="14.19921875" style="3" customWidth="1"/>
    <col min="9224" max="9224" width="13" style="3" customWidth="1"/>
    <col min="9225" max="9462" width="9.19921875" style="3"/>
    <col min="9463" max="9463" width="3.796875" style="3" customWidth="1"/>
    <col min="9464" max="9464" width="12.796875" style="3" customWidth="1"/>
    <col min="9465" max="9465" width="17.19921875" style="3" customWidth="1"/>
    <col min="9466" max="9466" width="17.796875" style="3" customWidth="1"/>
    <col min="9467" max="9467" width="12.796875" style="3" customWidth="1"/>
    <col min="9468" max="9468" width="13.796875" style="3" customWidth="1"/>
    <col min="9469" max="9469" width="14" style="3" customWidth="1"/>
    <col min="9470" max="9470" width="16.796875" style="3" customWidth="1"/>
    <col min="9471" max="9471" width="21.796875" style="3" customWidth="1"/>
    <col min="9472" max="9472" width="10.53125" style="3" customWidth="1"/>
    <col min="9473" max="9478" width="0" style="3" hidden="1" customWidth="1"/>
    <col min="9479" max="9479" width="14.19921875" style="3" customWidth="1"/>
    <col min="9480" max="9480" width="13" style="3" customWidth="1"/>
    <col min="9481" max="9718" width="9.19921875" style="3"/>
    <col min="9719" max="9719" width="3.796875" style="3" customWidth="1"/>
    <col min="9720" max="9720" width="12.796875" style="3" customWidth="1"/>
    <col min="9721" max="9721" width="17.19921875" style="3" customWidth="1"/>
    <col min="9722" max="9722" width="17.796875" style="3" customWidth="1"/>
    <col min="9723" max="9723" width="12.796875" style="3" customWidth="1"/>
    <col min="9724" max="9724" width="13.796875" style="3" customWidth="1"/>
    <col min="9725" max="9725" width="14" style="3" customWidth="1"/>
    <col min="9726" max="9726" width="16.796875" style="3" customWidth="1"/>
    <col min="9727" max="9727" width="21.796875" style="3" customWidth="1"/>
    <col min="9728" max="9728" width="10.53125" style="3" customWidth="1"/>
    <col min="9729" max="9734" width="0" style="3" hidden="1" customWidth="1"/>
    <col min="9735" max="9735" width="14.19921875" style="3" customWidth="1"/>
    <col min="9736" max="9736" width="13" style="3" customWidth="1"/>
    <col min="9737" max="9974" width="9.19921875" style="3"/>
    <col min="9975" max="9975" width="3.796875" style="3" customWidth="1"/>
    <col min="9976" max="9976" width="12.796875" style="3" customWidth="1"/>
    <col min="9977" max="9977" width="17.19921875" style="3" customWidth="1"/>
    <col min="9978" max="9978" width="17.796875" style="3" customWidth="1"/>
    <col min="9979" max="9979" width="12.796875" style="3" customWidth="1"/>
    <col min="9980" max="9980" width="13.796875" style="3" customWidth="1"/>
    <col min="9981" max="9981" width="14" style="3" customWidth="1"/>
    <col min="9982" max="9982" width="16.796875" style="3" customWidth="1"/>
    <col min="9983" max="9983" width="21.796875" style="3" customWidth="1"/>
    <col min="9984" max="9984" width="10.53125" style="3" customWidth="1"/>
    <col min="9985" max="9990" width="0" style="3" hidden="1" customWidth="1"/>
    <col min="9991" max="9991" width="14.19921875" style="3" customWidth="1"/>
    <col min="9992" max="9992" width="13" style="3" customWidth="1"/>
    <col min="9993" max="10230" width="9.19921875" style="3"/>
    <col min="10231" max="10231" width="3.796875" style="3" customWidth="1"/>
    <col min="10232" max="10232" width="12.796875" style="3" customWidth="1"/>
    <col min="10233" max="10233" width="17.19921875" style="3" customWidth="1"/>
    <col min="10234" max="10234" width="17.796875" style="3" customWidth="1"/>
    <col min="10235" max="10235" width="12.796875" style="3" customWidth="1"/>
    <col min="10236" max="10236" width="13.796875" style="3" customWidth="1"/>
    <col min="10237" max="10237" width="14" style="3" customWidth="1"/>
    <col min="10238" max="10238" width="16.796875" style="3" customWidth="1"/>
    <col min="10239" max="10239" width="21.796875" style="3" customWidth="1"/>
    <col min="10240" max="10240" width="10.53125" style="3" customWidth="1"/>
    <col min="10241" max="10246" width="0" style="3" hidden="1" customWidth="1"/>
    <col min="10247" max="10247" width="14.19921875" style="3" customWidth="1"/>
    <col min="10248" max="10248" width="13" style="3" customWidth="1"/>
    <col min="10249" max="10486" width="9.19921875" style="3"/>
    <col min="10487" max="10487" width="3.796875" style="3" customWidth="1"/>
    <col min="10488" max="10488" width="12.796875" style="3" customWidth="1"/>
    <col min="10489" max="10489" width="17.19921875" style="3" customWidth="1"/>
    <col min="10490" max="10490" width="17.796875" style="3" customWidth="1"/>
    <col min="10491" max="10491" width="12.796875" style="3" customWidth="1"/>
    <col min="10492" max="10492" width="13.796875" style="3" customWidth="1"/>
    <col min="10493" max="10493" width="14" style="3" customWidth="1"/>
    <col min="10494" max="10494" width="16.796875" style="3" customWidth="1"/>
    <col min="10495" max="10495" width="21.796875" style="3" customWidth="1"/>
    <col min="10496" max="10496" width="10.53125" style="3" customWidth="1"/>
    <col min="10497" max="10502" width="0" style="3" hidden="1" customWidth="1"/>
    <col min="10503" max="10503" width="14.19921875" style="3" customWidth="1"/>
    <col min="10504" max="10504" width="13" style="3" customWidth="1"/>
    <col min="10505" max="10742" width="9.19921875" style="3"/>
    <col min="10743" max="10743" width="3.796875" style="3" customWidth="1"/>
    <col min="10744" max="10744" width="12.796875" style="3" customWidth="1"/>
    <col min="10745" max="10745" width="17.19921875" style="3" customWidth="1"/>
    <col min="10746" max="10746" width="17.796875" style="3" customWidth="1"/>
    <col min="10747" max="10747" width="12.796875" style="3" customWidth="1"/>
    <col min="10748" max="10748" width="13.796875" style="3" customWidth="1"/>
    <col min="10749" max="10749" width="14" style="3" customWidth="1"/>
    <col min="10750" max="10750" width="16.796875" style="3" customWidth="1"/>
    <col min="10751" max="10751" width="21.796875" style="3" customWidth="1"/>
    <col min="10752" max="10752" width="10.53125" style="3" customWidth="1"/>
    <col min="10753" max="10758" width="0" style="3" hidden="1" customWidth="1"/>
    <col min="10759" max="10759" width="14.19921875" style="3" customWidth="1"/>
    <col min="10760" max="10760" width="13" style="3" customWidth="1"/>
    <col min="10761" max="10998" width="9.19921875" style="3"/>
    <col min="10999" max="10999" width="3.796875" style="3" customWidth="1"/>
    <col min="11000" max="11000" width="12.796875" style="3" customWidth="1"/>
    <col min="11001" max="11001" width="17.19921875" style="3" customWidth="1"/>
    <col min="11002" max="11002" width="17.796875" style="3" customWidth="1"/>
    <col min="11003" max="11003" width="12.796875" style="3" customWidth="1"/>
    <col min="11004" max="11004" width="13.796875" style="3" customWidth="1"/>
    <col min="11005" max="11005" width="14" style="3" customWidth="1"/>
    <col min="11006" max="11006" width="16.796875" style="3" customWidth="1"/>
    <col min="11007" max="11007" width="21.796875" style="3" customWidth="1"/>
    <col min="11008" max="11008" width="10.53125" style="3" customWidth="1"/>
    <col min="11009" max="11014" width="0" style="3" hidden="1" customWidth="1"/>
    <col min="11015" max="11015" width="14.19921875" style="3" customWidth="1"/>
    <col min="11016" max="11016" width="13" style="3" customWidth="1"/>
    <col min="11017" max="11254" width="9.19921875" style="3"/>
    <col min="11255" max="11255" width="3.796875" style="3" customWidth="1"/>
    <col min="11256" max="11256" width="12.796875" style="3" customWidth="1"/>
    <col min="11257" max="11257" width="17.19921875" style="3" customWidth="1"/>
    <col min="11258" max="11258" width="17.796875" style="3" customWidth="1"/>
    <col min="11259" max="11259" width="12.796875" style="3" customWidth="1"/>
    <col min="11260" max="11260" width="13.796875" style="3" customWidth="1"/>
    <col min="11261" max="11261" width="14" style="3" customWidth="1"/>
    <col min="11262" max="11262" width="16.796875" style="3" customWidth="1"/>
    <col min="11263" max="11263" width="21.796875" style="3" customWidth="1"/>
    <col min="11264" max="11264" width="10.53125" style="3" customWidth="1"/>
    <col min="11265" max="11270" width="0" style="3" hidden="1" customWidth="1"/>
    <col min="11271" max="11271" width="14.19921875" style="3" customWidth="1"/>
    <col min="11272" max="11272" width="13" style="3" customWidth="1"/>
    <col min="11273" max="11510" width="9.19921875" style="3"/>
    <col min="11511" max="11511" width="3.796875" style="3" customWidth="1"/>
    <col min="11512" max="11512" width="12.796875" style="3" customWidth="1"/>
    <col min="11513" max="11513" width="17.19921875" style="3" customWidth="1"/>
    <col min="11514" max="11514" width="17.796875" style="3" customWidth="1"/>
    <col min="11515" max="11515" width="12.796875" style="3" customWidth="1"/>
    <col min="11516" max="11516" width="13.796875" style="3" customWidth="1"/>
    <col min="11517" max="11517" width="14" style="3" customWidth="1"/>
    <col min="11518" max="11518" width="16.796875" style="3" customWidth="1"/>
    <col min="11519" max="11519" width="21.796875" style="3" customWidth="1"/>
    <col min="11520" max="11520" width="10.53125" style="3" customWidth="1"/>
    <col min="11521" max="11526" width="0" style="3" hidden="1" customWidth="1"/>
    <col min="11527" max="11527" width="14.19921875" style="3" customWidth="1"/>
    <col min="11528" max="11528" width="13" style="3" customWidth="1"/>
    <col min="11529" max="11766" width="9.19921875" style="3"/>
    <col min="11767" max="11767" width="3.796875" style="3" customWidth="1"/>
    <col min="11768" max="11768" width="12.796875" style="3" customWidth="1"/>
    <col min="11769" max="11769" width="17.19921875" style="3" customWidth="1"/>
    <col min="11770" max="11770" width="17.796875" style="3" customWidth="1"/>
    <col min="11771" max="11771" width="12.796875" style="3" customWidth="1"/>
    <col min="11772" max="11772" width="13.796875" style="3" customWidth="1"/>
    <col min="11773" max="11773" width="14" style="3" customWidth="1"/>
    <col min="11774" max="11774" width="16.796875" style="3" customWidth="1"/>
    <col min="11775" max="11775" width="21.796875" style="3" customWidth="1"/>
    <col min="11776" max="11776" width="10.53125" style="3" customWidth="1"/>
    <col min="11777" max="11782" width="0" style="3" hidden="1" customWidth="1"/>
    <col min="11783" max="11783" width="14.19921875" style="3" customWidth="1"/>
    <col min="11784" max="11784" width="13" style="3" customWidth="1"/>
    <col min="11785" max="12022" width="9.19921875" style="3"/>
    <col min="12023" max="12023" width="3.796875" style="3" customWidth="1"/>
    <col min="12024" max="12024" width="12.796875" style="3" customWidth="1"/>
    <col min="12025" max="12025" width="17.19921875" style="3" customWidth="1"/>
    <col min="12026" max="12026" width="17.796875" style="3" customWidth="1"/>
    <col min="12027" max="12027" width="12.796875" style="3" customWidth="1"/>
    <col min="12028" max="12028" width="13.796875" style="3" customWidth="1"/>
    <col min="12029" max="12029" width="14" style="3" customWidth="1"/>
    <col min="12030" max="12030" width="16.796875" style="3" customWidth="1"/>
    <col min="12031" max="12031" width="21.796875" style="3" customWidth="1"/>
    <col min="12032" max="12032" width="10.53125" style="3" customWidth="1"/>
    <col min="12033" max="12038" width="0" style="3" hidden="1" customWidth="1"/>
    <col min="12039" max="12039" width="14.19921875" style="3" customWidth="1"/>
    <col min="12040" max="12040" width="13" style="3" customWidth="1"/>
    <col min="12041" max="12278" width="9.19921875" style="3"/>
    <col min="12279" max="12279" width="3.796875" style="3" customWidth="1"/>
    <col min="12280" max="12280" width="12.796875" style="3" customWidth="1"/>
    <col min="12281" max="12281" width="17.19921875" style="3" customWidth="1"/>
    <col min="12282" max="12282" width="17.796875" style="3" customWidth="1"/>
    <col min="12283" max="12283" width="12.796875" style="3" customWidth="1"/>
    <col min="12284" max="12284" width="13.796875" style="3" customWidth="1"/>
    <col min="12285" max="12285" width="14" style="3" customWidth="1"/>
    <col min="12286" max="12286" width="16.796875" style="3" customWidth="1"/>
    <col min="12287" max="12287" width="21.796875" style="3" customWidth="1"/>
    <col min="12288" max="12288" width="10.53125" style="3" customWidth="1"/>
    <col min="12289" max="12294" width="0" style="3" hidden="1" customWidth="1"/>
    <col min="12295" max="12295" width="14.19921875" style="3" customWidth="1"/>
    <col min="12296" max="12296" width="13" style="3" customWidth="1"/>
    <col min="12297" max="12534" width="9.19921875" style="3"/>
    <col min="12535" max="12535" width="3.796875" style="3" customWidth="1"/>
    <col min="12536" max="12536" width="12.796875" style="3" customWidth="1"/>
    <col min="12537" max="12537" width="17.19921875" style="3" customWidth="1"/>
    <col min="12538" max="12538" width="17.796875" style="3" customWidth="1"/>
    <col min="12539" max="12539" width="12.796875" style="3" customWidth="1"/>
    <col min="12540" max="12540" width="13.796875" style="3" customWidth="1"/>
    <col min="12541" max="12541" width="14" style="3" customWidth="1"/>
    <col min="12542" max="12542" width="16.796875" style="3" customWidth="1"/>
    <col min="12543" max="12543" width="21.796875" style="3" customWidth="1"/>
    <col min="12544" max="12544" width="10.53125" style="3" customWidth="1"/>
    <col min="12545" max="12550" width="0" style="3" hidden="1" customWidth="1"/>
    <col min="12551" max="12551" width="14.19921875" style="3" customWidth="1"/>
    <col min="12552" max="12552" width="13" style="3" customWidth="1"/>
    <col min="12553" max="12790" width="9.19921875" style="3"/>
    <col min="12791" max="12791" width="3.796875" style="3" customWidth="1"/>
    <col min="12792" max="12792" width="12.796875" style="3" customWidth="1"/>
    <col min="12793" max="12793" width="17.19921875" style="3" customWidth="1"/>
    <col min="12794" max="12794" width="17.796875" style="3" customWidth="1"/>
    <col min="12795" max="12795" width="12.796875" style="3" customWidth="1"/>
    <col min="12796" max="12796" width="13.796875" style="3" customWidth="1"/>
    <col min="12797" max="12797" width="14" style="3" customWidth="1"/>
    <col min="12798" max="12798" width="16.796875" style="3" customWidth="1"/>
    <col min="12799" max="12799" width="21.796875" style="3" customWidth="1"/>
    <col min="12800" max="12800" width="10.53125" style="3" customWidth="1"/>
    <col min="12801" max="12806" width="0" style="3" hidden="1" customWidth="1"/>
    <col min="12807" max="12807" width="14.19921875" style="3" customWidth="1"/>
    <col min="12808" max="12808" width="13" style="3" customWidth="1"/>
    <col min="12809" max="13046" width="9.19921875" style="3"/>
    <col min="13047" max="13047" width="3.796875" style="3" customWidth="1"/>
    <col min="13048" max="13048" width="12.796875" style="3" customWidth="1"/>
    <col min="13049" max="13049" width="17.19921875" style="3" customWidth="1"/>
    <col min="13050" max="13050" width="17.796875" style="3" customWidth="1"/>
    <col min="13051" max="13051" width="12.796875" style="3" customWidth="1"/>
    <col min="13052" max="13052" width="13.796875" style="3" customWidth="1"/>
    <col min="13053" max="13053" width="14" style="3" customWidth="1"/>
    <col min="13054" max="13054" width="16.796875" style="3" customWidth="1"/>
    <col min="13055" max="13055" width="21.796875" style="3" customWidth="1"/>
    <col min="13056" max="13056" width="10.53125" style="3" customWidth="1"/>
    <col min="13057" max="13062" width="0" style="3" hidden="1" customWidth="1"/>
    <col min="13063" max="13063" width="14.19921875" style="3" customWidth="1"/>
    <col min="13064" max="13064" width="13" style="3" customWidth="1"/>
    <col min="13065" max="13302" width="9.19921875" style="3"/>
    <col min="13303" max="13303" width="3.796875" style="3" customWidth="1"/>
    <col min="13304" max="13304" width="12.796875" style="3" customWidth="1"/>
    <col min="13305" max="13305" width="17.19921875" style="3" customWidth="1"/>
    <col min="13306" max="13306" width="17.796875" style="3" customWidth="1"/>
    <col min="13307" max="13307" width="12.796875" style="3" customWidth="1"/>
    <col min="13308" max="13308" width="13.796875" style="3" customWidth="1"/>
    <col min="13309" max="13309" width="14" style="3" customWidth="1"/>
    <col min="13310" max="13310" width="16.796875" style="3" customWidth="1"/>
    <col min="13311" max="13311" width="21.796875" style="3" customWidth="1"/>
    <col min="13312" max="13312" width="10.53125" style="3" customWidth="1"/>
    <col min="13313" max="13318" width="0" style="3" hidden="1" customWidth="1"/>
    <col min="13319" max="13319" width="14.19921875" style="3" customWidth="1"/>
    <col min="13320" max="13320" width="13" style="3" customWidth="1"/>
    <col min="13321" max="13558" width="9.19921875" style="3"/>
    <col min="13559" max="13559" width="3.796875" style="3" customWidth="1"/>
    <col min="13560" max="13560" width="12.796875" style="3" customWidth="1"/>
    <col min="13561" max="13561" width="17.19921875" style="3" customWidth="1"/>
    <col min="13562" max="13562" width="17.796875" style="3" customWidth="1"/>
    <col min="13563" max="13563" width="12.796875" style="3" customWidth="1"/>
    <col min="13564" max="13564" width="13.796875" style="3" customWidth="1"/>
    <col min="13565" max="13565" width="14" style="3" customWidth="1"/>
    <col min="13566" max="13566" width="16.796875" style="3" customWidth="1"/>
    <col min="13567" max="13567" width="21.796875" style="3" customWidth="1"/>
    <col min="13568" max="13568" width="10.53125" style="3" customWidth="1"/>
    <col min="13569" max="13574" width="0" style="3" hidden="1" customWidth="1"/>
    <col min="13575" max="13575" width="14.19921875" style="3" customWidth="1"/>
    <col min="13576" max="13576" width="13" style="3" customWidth="1"/>
    <col min="13577" max="13814" width="9.19921875" style="3"/>
    <col min="13815" max="13815" width="3.796875" style="3" customWidth="1"/>
    <col min="13816" max="13816" width="12.796875" style="3" customWidth="1"/>
    <col min="13817" max="13817" width="17.19921875" style="3" customWidth="1"/>
    <col min="13818" max="13818" width="17.796875" style="3" customWidth="1"/>
    <col min="13819" max="13819" width="12.796875" style="3" customWidth="1"/>
    <col min="13820" max="13820" width="13.796875" style="3" customWidth="1"/>
    <col min="13821" max="13821" width="14" style="3" customWidth="1"/>
    <col min="13822" max="13822" width="16.796875" style="3" customWidth="1"/>
    <col min="13823" max="13823" width="21.796875" style="3" customWidth="1"/>
    <col min="13824" max="13824" width="10.53125" style="3" customWidth="1"/>
    <col min="13825" max="13830" width="0" style="3" hidden="1" customWidth="1"/>
    <col min="13831" max="13831" width="14.19921875" style="3" customWidth="1"/>
    <col min="13832" max="13832" width="13" style="3" customWidth="1"/>
    <col min="13833" max="14070" width="9.19921875" style="3"/>
    <col min="14071" max="14071" width="3.796875" style="3" customWidth="1"/>
    <col min="14072" max="14072" width="12.796875" style="3" customWidth="1"/>
    <col min="14073" max="14073" width="17.19921875" style="3" customWidth="1"/>
    <col min="14074" max="14074" width="17.796875" style="3" customWidth="1"/>
    <col min="14075" max="14075" width="12.796875" style="3" customWidth="1"/>
    <col min="14076" max="14076" width="13.796875" style="3" customWidth="1"/>
    <col min="14077" max="14077" width="14" style="3" customWidth="1"/>
    <col min="14078" max="14078" width="16.796875" style="3" customWidth="1"/>
    <col min="14079" max="14079" width="21.796875" style="3" customWidth="1"/>
    <col min="14080" max="14080" width="10.53125" style="3" customWidth="1"/>
    <col min="14081" max="14086" width="0" style="3" hidden="1" customWidth="1"/>
    <col min="14087" max="14087" width="14.19921875" style="3" customWidth="1"/>
    <col min="14088" max="14088" width="13" style="3" customWidth="1"/>
    <col min="14089" max="14326" width="9.19921875" style="3"/>
    <col min="14327" max="14327" width="3.796875" style="3" customWidth="1"/>
    <col min="14328" max="14328" width="12.796875" style="3" customWidth="1"/>
    <col min="14329" max="14329" width="17.19921875" style="3" customWidth="1"/>
    <col min="14330" max="14330" width="17.796875" style="3" customWidth="1"/>
    <col min="14331" max="14331" width="12.796875" style="3" customWidth="1"/>
    <col min="14332" max="14332" width="13.796875" style="3" customWidth="1"/>
    <col min="14333" max="14333" width="14" style="3" customWidth="1"/>
    <col min="14334" max="14334" width="16.796875" style="3" customWidth="1"/>
    <col min="14335" max="14335" width="21.796875" style="3" customWidth="1"/>
    <col min="14336" max="14336" width="10.53125" style="3" customWidth="1"/>
    <col min="14337" max="14342" width="0" style="3" hidden="1" customWidth="1"/>
    <col min="14343" max="14343" width="14.19921875" style="3" customWidth="1"/>
    <col min="14344" max="14344" width="13" style="3" customWidth="1"/>
    <col min="14345" max="14582" width="9.19921875" style="3"/>
    <col min="14583" max="14583" width="3.796875" style="3" customWidth="1"/>
    <col min="14584" max="14584" width="12.796875" style="3" customWidth="1"/>
    <col min="14585" max="14585" width="17.19921875" style="3" customWidth="1"/>
    <col min="14586" max="14586" width="17.796875" style="3" customWidth="1"/>
    <col min="14587" max="14587" width="12.796875" style="3" customWidth="1"/>
    <col min="14588" max="14588" width="13.796875" style="3" customWidth="1"/>
    <col min="14589" max="14589" width="14" style="3" customWidth="1"/>
    <col min="14590" max="14590" width="16.796875" style="3" customWidth="1"/>
    <col min="14591" max="14591" width="21.796875" style="3" customWidth="1"/>
    <col min="14592" max="14592" width="10.53125" style="3" customWidth="1"/>
    <col min="14593" max="14598" width="0" style="3" hidden="1" customWidth="1"/>
    <col min="14599" max="14599" width="14.19921875" style="3" customWidth="1"/>
    <col min="14600" max="14600" width="13" style="3" customWidth="1"/>
    <col min="14601" max="14838" width="9.19921875" style="3"/>
    <col min="14839" max="14839" width="3.796875" style="3" customWidth="1"/>
    <col min="14840" max="14840" width="12.796875" style="3" customWidth="1"/>
    <col min="14841" max="14841" width="17.19921875" style="3" customWidth="1"/>
    <col min="14842" max="14842" width="17.796875" style="3" customWidth="1"/>
    <col min="14843" max="14843" width="12.796875" style="3" customWidth="1"/>
    <col min="14844" max="14844" width="13.796875" style="3" customWidth="1"/>
    <col min="14845" max="14845" width="14" style="3" customWidth="1"/>
    <col min="14846" max="14846" width="16.796875" style="3" customWidth="1"/>
    <col min="14847" max="14847" width="21.796875" style="3" customWidth="1"/>
    <col min="14848" max="14848" width="10.53125" style="3" customWidth="1"/>
    <col min="14849" max="14854" width="0" style="3" hidden="1" customWidth="1"/>
    <col min="14855" max="14855" width="14.19921875" style="3" customWidth="1"/>
    <col min="14856" max="14856" width="13" style="3" customWidth="1"/>
    <col min="14857" max="15094" width="9.19921875" style="3"/>
    <col min="15095" max="15095" width="3.796875" style="3" customWidth="1"/>
    <col min="15096" max="15096" width="12.796875" style="3" customWidth="1"/>
    <col min="15097" max="15097" width="17.19921875" style="3" customWidth="1"/>
    <col min="15098" max="15098" width="17.796875" style="3" customWidth="1"/>
    <col min="15099" max="15099" width="12.796875" style="3" customWidth="1"/>
    <col min="15100" max="15100" width="13.796875" style="3" customWidth="1"/>
    <col min="15101" max="15101" width="14" style="3" customWidth="1"/>
    <col min="15102" max="15102" width="16.796875" style="3" customWidth="1"/>
    <col min="15103" max="15103" width="21.796875" style="3" customWidth="1"/>
    <col min="15104" max="15104" width="10.53125" style="3" customWidth="1"/>
    <col min="15105" max="15110" width="0" style="3" hidden="1" customWidth="1"/>
    <col min="15111" max="15111" width="14.19921875" style="3" customWidth="1"/>
    <col min="15112" max="15112" width="13" style="3" customWidth="1"/>
    <col min="15113" max="15350" width="9.19921875" style="3"/>
    <col min="15351" max="15351" width="3.796875" style="3" customWidth="1"/>
    <col min="15352" max="15352" width="12.796875" style="3" customWidth="1"/>
    <col min="15353" max="15353" width="17.19921875" style="3" customWidth="1"/>
    <col min="15354" max="15354" width="17.796875" style="3" customWidth="1"/>
    <col min="15355" max="15355" width="12.796875" style="3" customWidth="1"/>
    <col min="15356" max="15356" width="13.796875" style="3" customWidth="1"/>
    <col min="15357" max="15357" width="14" style="3" customWidth="1"/>
    <col min="15358" max="15358" width="16.796875" style="3" customWidth="1"/>
    <col min="15359" max="15359" width="21.796875" style="3" customWidth="1"/>
    <col min="15360" max="15360" width="10.53125" style="3" customWidth="1"/>
    <col min="15361" max="15366" width="0" style="3" hidden="1" customWidth="1"/>
    <col min="15367" max="15367" width="14.19921875" style="3" customWidth="1"/>
    <col min="15368" max="15368" width="13" style="3" customWidth="1"/>
    <col min="15369" max="15606" width="9.19921875" style="3"/>
    <col min="15607" max="15607" width="3.796875" style="3" customWidth="1"/>
    <col min="15608" max="15608" width="12.796875" style="3" customWidth="1"/>
    <col min="15609" max="15609" width="17.19921875" style="3" customWidth="1"/>
    <col min="15610" max="15610" width="17.796875" style="3" customWidth="1"/>
    <col min="15611" max="15611" width="12.796875" style="3" customWidth="1"/>
    <col min="15612" max="15612" width="13.796875" style="3" customWidth="1"/>
    <col min="15613" max="15613" width="14" style="3" customWidth="1"/>
    <col min="15614" max="15614" width="16.796875" style="3" customWidth="1"/>
    <col min="15615" max="15615" width="21.796875" style="3" customWidth="1"/>
    <col min="15616" max="15616" width="10.53125" style="3" customWidth="1"/>
    <col min="15617" max="15622" width="0" style="3" hidden="1" customWidth="1"/>
    <col min="15623" max="15623" width="14.19921875" style="3" customWidth="1"/>
    <col min="15624" max="15624" width="13" style="3" customWidth="1"/>
    <col min="15625" max="15862" width="9.19921875" style="3"/>
    <col min="15863" max="15863" width="3.796875" style="3" customWidth="1"/>
    <col min="15864" max="15864" width="12.796875" style="3" customWidth="1"/>
    <col min="15865" max="15865" width="17.19921875" style="3" customWidth="1"/>
    <col min="15866" max="15866" width="17.796875" style="3" customWidth="1"/>
    <col min="15867" max="15867" width="12.796875" style="3" customWidth="1"/>
    <col min="15868" max="15868" width="13.796875" style="3" customWidth="1"/>
    <col min="15869" max="15869" width="14" style="3" customWidth="1"/>
    <col min="15870" max="15870" width="16.796875" style="3" customWidth="1"/>
    <col min="15871" max="15871" width="21.796875" style="3" customWidth="1"/>
    <col min="15872" max="15872" width="10.53125" style="3" customWidth="1"/>
    <col min="15873" max="15878" width="0" style="3" hidden="1" customWidth="1"/>
    <col min="15879" max="15879" width="14.19921875" style="3" customWidth="1"/>
    <col min="15880" max="15880" width="13" style="3" customWidth="1"/>
    <col min="15881" max="16118" width="9.19921875" style="3"/>
    <col min="16119" max="16119" width="3.796875" style="3" customWidth="1"/>
    <col min="16120" max="16120" width="12.796875" style="3" customWidth="1"/>
    <col min="16121" max="16121" width="17.19921875" style="3" customWidth="1"/>
    <col min="16122" max="16122" width="17.796875" style="3" customWidth="1"/>
    <col min="16123" max="16123" width="12.796875" style="3" customWidth="1"/>
    <col min="16124" max="16124" width="13.796875" style="3" customWidth="1"/>
    <col min="16125" max="16125" width="14" style="3" customWidth="1"/>
    <col min="16126" max="16126" width="16.796875" style="3" customWidth="1"/>
    <col min="16127" max="16127" width="21.796875" style="3" customWidth="1"/>
    <col min="16128" max="16128" width="10.53125" style="3" customWidth="1"/>
    <col min="16129" max="16134" width="0" style="3" hidden="1" customWidth="1"/>
    <col min="16135" max="16135" width="14.19921875" style="3" customWidth="1"/>
    <col min="16136" max="16136" width="13" style="3" customWidth="1"/>
    <col min="16137" max="16374" width="9.19921875" style="3"/>
    <col min="16375" max="16384" width="9.19921875" style="3" customWidth="1"/>
  </cols>
  <sheetData>
    <row r="1" spans="1:9">
      <c r="A1" s="1507" t="s">
        <v>1811</v>
      </c>
      <c r="B1" s="1507"/>
    </row>
    <row r="2" spans="1:9">
      <c r="A2" s="1585" t="str">
        <f>+'BS1'!A2</f>
        <v>NIDP DEVELOPERS PRIVATE LIMITED</v>
      </c>
      <c r="B2" s="1585"/>
      <c r="C2" s="1585"/>
      <c r="D2" s="1585"/>
      <c r="E2" s="1585"/>
      <c r="F2" s="1585"/>
      <c r="G2" s="1585"/>
      <c r="H2" s="1585"/>
      <c r="I2" s="1585"/>
    </row>
    <row r="3" spans="1:9">
      <c r="A3" s="173" t="s">
        <v>224</v>
      </c>
      <c r="B3" s="173"/>
      <c r="C3" s="173"/>
      <c r="D3" s="173"/>
      <c r="E3" s="173"/>
      <c r="F3" s="173"/>
      <c r="G3" s="173"/>
      <c r="H3" s="1582"/>
      <c r="I3" s="1582"/>
    </row>
    <row r="4" spans="1:9">
      <c r="A4" s="39"/>
      <c r="B4" s="39"/>
      <c r="C4" s="39"/>
      <c r="D4" s="39"/>
      <c r="E4" s="39"/>
      <c r="F4" s="39"/>
      <c r="G4" s="39"/>
      <c r="H4" s="14"/>
      <c r="I4" s="14"/>
    </row>
    <row r="5" spans="1:9">
      <c r="A5" s="1920" t="s">
        <v>343</v>
      </c>
      <c r="B5" s="1920"/>
      <c r="C5" s="1920"/>
      <c r="D5" s="1920"/>
      <c r="E5" s="1920"/>
      <c r="F5" s="1920"/>
      <c r="G5" s="1920"/>
      <c r="H5" s="1920"/>
      <c r="I5" s="1920"/>
    </row>
    <row r="6" spans="1:9">
      <c r="A6" s="20"/>
      <c r="B6" s="20"/>
      <c r="C6" s="106"/>
      <c r="D6" s="106"/>
    </row>
    <row r="7" spans="1:9">
      <c r="A7" s="1488" t="s">
        <v>225</v>
      </c>
      <c r="B7" s="1488"/>
      <c r="C7" s="1488"/>
      <c r="D7" s="1488"/>
      <c r="E7" s="221"/>
      <c r="F7" s="1488" t="s">
        <v>226</v>
      </c>
      <c r="G7" s="1488"/>
      <c r="H7" s="1488"/>
      <c r="I7" s="1488"/>
    </row>
    <row r="8" spans="1:9">
      <c r="A8" s="1583" t="s">
        <v>1574</v>
      </c>
      <c r="B8" s="1583" t="s">
        <v>1575</v>
      </c>
      <c r="C8" s="1904" t="s">
        <v>227</v>
      </c>
      <c r="D8" s="1905" t="s">
        <v>228</v>
      </c>
      <c r="E8" s="1488" t="s">
        <v>1576</v>
      </c>
      <c r="F8" s="1488" t="s">
        <v>1577</v>
      </c>
      <c r="G8" s="1488" t="s">
        <v>618</v>
      </c>
      <c r="H8" s="1488" t="s">
        <v>619</v>
      </c>
      <c r="I8" s="1488" t="s">
        <v>617</v>
      </c>
    </row>
    <row r="9" spans="1:9">
      <c r="A9" s="1584"/>
      <c r="B9" s="1584"/>
      <c r="C9" s="1904"/>
      <c r="D9" s="1906"/>
      <c r="E9" s="1488"/>
      <c r="F9" s="1488"/>
      <c r="G9" s="1488"/>
      <c r="H9" s="1488"/>
      <c r="I9" s="1488"/>
    </row>
    <row r="10" spans="1:9">
      <c r="A10" s="1680"/>
      <c r="B10" s="1680"/>
      <c r="C10" s="1904"/>
      <c r="D10" s="1907"/>
      <c r="E10" s="1488"/>
      <c r="F10" s="1488"/>
      <c r="G10" s="1488"/>
      <c r="H10" s="1488"/>
      <c r="I10" s="1488"/>
    </row>
    <row r="11" spans="1:9">
      <c r="A11" s="274" t="s">
        <v>2222</v>
      </c>
      <c r="B11" s="1908" t="s">
        <v>2237</v>
      </c>
      <c r="C11" s="1059">
        <v>45017</v>
      </c>
      <c r="D11" s="1060">
        <v>45386</v>
      </c>
      <c r="E11" s="799">
        <f>211727305.62/(10^7)</f>
        <v>21.172730562000002</v>
      </c>
      <c r="F11" s="799">
        <f>E11*30%</f>
        <v>6.3518191686000005</v>
      </c>
      <c r="G11" s="799"/>
      <c r="H11" s="799"/>
      <c r="I11" s="776">
        <f>+E11-SUM(F11:H11)</f>
        <v>14.820911393400001</v>
      </c>
    </row>
    <row r="12" spans="1:9">
      <c r="A12" s="274" t="s">
        <v>2223</v>
      </c>
      <c r="B12" s="1909"/>
      <c r="C12" s="1059">
        <v>45017</v>
      </c>
      <c r="D12" s="1060">
        <v>45386</v>
      </c>
      <c r="E12" s="799">
        <f>52315244.22/(10^7)</f>
        <v>5.2315244219999988</v>
      </c>
      <c r="F12" s="799">
        <f t="shared" ref="F12:F23" si="0">E12*30%</f>
        <v>1.5694573265999996</v>
      </c>
      <c r="G12" s="799"/>
      <c r="H12" s="799"/>
      <c r="I12" s="776">
        <f t="shared" ref="I12:I23" si="1">+E12-SUM(F12:H12)</f>
        <v>3.6620670953999994</v>
      </c>
    </row>
    <row r="13" spans="1:9" ht="28.5">
      <c r="A13" s="274" t="s">
        <v>2224</v>
      </c>
      <c r="B13" s="1909"/>
      <c r="C13" s="1059">
        <v>45017</v>
      </c>
      <c r="D13" s="1060">
        <v>45386</v>
      </c>
      <c r="E13" s="799">
        <f>154312023.45/(10^7)</f>
        <v>15.431202344999999</v>
      </c>
      <c r="F13" s="799">
        <f t="shared" si="0"/>
        <v>4.6293607034999997</v>
      </c>
      <c r="G13" s="799"/>
      <c r="H13" s="799"/>
      <c r="I13" s="776">
        <f t="shared" si="1"/>
        <v>10.801841641499999</v>
      </c>
    </row>
    <row r="14" spans="1:9">
      <c r="A14" s="274" t="s">
        <v>2225</v>
      </c>
      <c r="B14" s="1909"/>
      <c r="C14" s="1059">
        <v>45017</v>
      </c>
      <c r="D14" s="1060">
        <v>45386</v>
      </c>
      <c r="E14" s="799">
        <f>29096409.8/(10^7)</f>
        <v>2.9096409800000003</v>
      </c>
      <c r="F14" s="799">
        <f t="shared" si="0"/>
        <v>0.87289229400000001</v>
      </c>
      <c r="G14" s="799"/>
      <c r="H14" s="799"/>
      <c r="I14" s="776">
        <f t="shared" si="1"/>
        <v>2.0367486860000001</v>
      </c>
    </row>
    <row r="15" spans="1:9">
      <c r="A15" s="274" t="s">
        <v>2226</v>
      </c>
      <c r="B15" s="1909"/>
      <c r="C15" s="1059">
        <v>45017</v>
      </c>
      <c r="D15" s="1060">
        <v>45386</v>
      </c>
      <c r="E15" s="799">
        <f>1718929.53/(10^7)</f>
        <v>0.17189295299999999</v>
      </c>
      <c r="F15" s="799">
        <f t="shared" si="0"/>
        <v>5.1567885899999992E-2</v>
      </c>
      <c r="G15" s="799"/>
      <c r="H15" s="799"/>
      <c r="I15" s="776">
        <f t="shared" si="1"/>
        <v>0.12032506709999999</v>
      </c>
    </row>
    <row r="16" spans="1:9" ht="28.5">
      <c r="A16" s="274" t="s">
        <v>2227</v>
      </c>
      <c r="B16" s="1909"/>
      <c r="C16" s="1059">
        <v>45017</v>
      </c>
      <c r="D16" s="1060">
        <v>45386</v>
      </c>
      <c r="E16" s="799">
        <f>3095021.59/(10^7)</f>
        <v>0.309502159</v>
      </c>
      <c r="F16" s="799">
        <f t="shared" si="0"/>
        <v>9.2850647699999997E-2</v>
      </c>
      <c r="G16" s="799"/>
      <c r="H16" s="799"/>
      <c r="I16" s="776">
        <f t="shared" si="1"/>
        <v>0.21665151129999999</v>
      </c>
    </row>
    <row r="17" spans="1:9">
      <c r="A17" s="274" t="s">
        <v>2228</v>
      </c>
      <c r="B17" s="1909"/>
      <c r="C17" s="1059">
        <v>45017</v>
      </c>
      <c r="D17" s="1060">
        <v>45386</v>
      </c>
      <c r="E17" s="799">
        <f>6695360.75/(10^7)</f>
        <v>0.66953607500000001</v>
      </c>
      <c r="F17" s="799">
        <f t="shared" si="0"/>
        <v>0.20086082250000001</v>
      </c>
      <c r="G17" s="799"/>
      <c r="H17" s="799"/>
      <c r="I17" s="776">
        <f t="shared" si="1"/>
        <v>0.46867525249999997</v>
      </c>
    </row>
    <row r="18" spans="1:9">
      <c r="A18" s="274" t="s">
        <v>2229</v>
      </c>
      <c r="B18" s="1909"/>
      <c r="C18" s="1059">
        <v>45017</v>
      </c>
      <c r="D18" s="1060">
        <v>45386</v>
      </c>
      <c r="E18" s="799">
        <f>27492412.16/(10^7)</f>
        <v>2.7492412160000002</v>
      </c>
      <c r="F18" s="799">
        <f t="shared" si="0"/>
        <v>0.82477236480000005</v>
      </c>
      <c r="G18" s="799"/>
      <c r="H18" s="799"/>
      <c r="I18" s="776">
        <f t="shared" si="1"/>
        <v>1.9244688512000001</v>
      </c>
    </row>
    <row r="19" spans="1:9">
      <c r="A19" s="274" t="s">
        <v>2230</v>
      </c>
      <c r="B19" s="1909"/>
      <c r="C19" s="1059">
        <v>45017</v>
      </c>
      <c r="D19" s="1060">
        <v>45386</v>
      </c>
      <c r="E19" s="799">
        <f>4318964.27/(10^7)</f>
        <v>0.43189642699999997</v>
      </c>
      <c r="F19" s="799">
        <f t="shared" si="0"/>
        <v>0.12956892809999998</v>
      </c>
      <c r="G19" s="799"/>
      <c r="H19" s="799"/>
      <c r="I19" s="776">
        <f t="shared" si="1"/>
        <v>0.30232749889999999</v>
      </c>
    </row>
    <row r="20" spans="1:9">
      <c r="A20" s="274" t="s">
        <v>2231</v>
      </c>
      <c r="B20" s="1909"/>
      <c r="C20" s="1059">
        <v>45017</v>
      </c>
      <c r="D20" s="1060">
        <v>45386</v>
      </c>
      <c r="E20" s="799">
        <f>3453705.74/(10^7)</f>
        <v>0.34537057400000004</v>
      </c>
      <c r="F20" s="799">
        <f t="shared" si="0"/>
        <v>0.1036111722</v>
      </c>
      <c r="G20" s="799"/>
      <c r="H20" s="799"/>
      <c r="I20" s="776">
        <f t="shared" si="1"/>
        <v>0.24175940180000005</v>
      </c>
    </row>
    <row r="21" spans="1:9">
      <c r="A21" s="274" t="s">
        <v>2232</v>
      </c>
      <c r="B21" s="1909"/>
      <c r="C21" s="1059">
        <v>45017</v>
      </c>
      <c r="D21" s="1060">
        <v>45386</v>
      </c>
      <c r="E21" s="799">
        <f>376397632.72/(10^7)</f>
        <v>37.639763272000003</v>
      </c>
      <c r="F21" s="799">
        <f>(E21-H21)*30%</f>
        <v>0.51619808160000102</v>
      </c>
      <c r="G21" s="799"/>
      <c r="H21" s="799">
        <f>359191030/(10^7)</f>
        <v>35.919103</v>
      </c>
      <c r="I21" s="776">
        <f t="shared" si="1"/>
        <v>1.204462190400001</v>
      </c>
    </row>
    <row r="22" spans="1:9">
      <c r="A22" s="274" t="s">
        <v>2233</v>
      </c>
      <c r="B22" s="1909"/>
      <c r="C22" s="1059">
        <v>45017</v>
      </c>
      <c r="D22" s="1060">
        <v>45386</v>
      </c>
      <c r="E22" s="799">
        <f>232620.88/(10^7)</f>
        <v>2.3262088E-2</v>
      </c>
      <c r="F22" s="799">
        <f t="shared" si="0"/>
        <v>6.9786264000000001E-3</v>
      </c>
      <c r="G22" s="799"/>
      <c r="H22" s="799"/>
      <c r="I22" s="776">
        <f t="shared" si="1"/>
        <v>1.62834616E-2</v>
      </c>
    </row>
    <row r="23" spans="1:9">
      <c r="A23" s="274" t="s">
        <v>2234</v>
      </c>
      <c r="B23" s="1910"/>
      <c r="C23" s="1059">
        <v>45017</v>
      </c>
      <c r="D23" s="1060">
        <v>45386</v>
      </c>
      <c r="E23" s="799">
        <f>20858537.4/(10^7)</f>
        <v>2.0858537400000001</v>
      </c>
      <c r="F23" s="799">
        <f t="shared" si="0"/>
        <v>0.62575612199999997</v>
      </c>
      <c r="G23" s="799"/>
      <c r="H23" s="799"/>
      <c r="I23" s="776">
        <f t="shared" si="1"/>
        <v>1.4600976180000003</v>
      </c>
    </row>
    <row r="24" spans="1:9">
      <c r="A24" s="33"/>
      <c r="B24" s="33"/>
      <c r="C24" s="1056"/>
      <c r="D24" s="1057"/>
      <c r="E24" s="33"/>
      <c r="F24" s="33"/>
      <c r="G24" s="33"/>
      <c r="H24" s="33"/>
      <c r="I24" s="7"/>
    </row>
    <row r="25" spans="1:9">
      <c r="A25" s="33"/>
      <c r="B25" s="33"/>
      <c r="C25" s="1056"/>
      <c r="D25" s="1057"/>
      <c r="E25" s="33"/>
      <c r="F25" s="33"/>
      <c r="G25" s="33"/>
      <c r="H25" s="33"/>
      <c r="I25" s="7"/>
    </row>
    <row r="26" spans="1:9">
      <c r="A26" s="33"/>
      <c r="B26" s="33"/>
      <c r="C26" s="1056"/>
      <c r="D26" s="1057"/>
      <c r="E26" s="1061">
        <f>SUM(E11:E25)</f>
        <v>89.171416813000008</v>
      </c>
      <c r="F26" s="1061">
        <f t="shared" ref="F26:I26" si="2">SUM(F11:F25)</f>
        <v>15.9756941439</v>
      </c>
      <c r="G26" s="1061">
        <f t="shared" si="2"/>
        <v>0</v>
      </c>
      <c r="H26" s="1061">
        <f t="shared" si="2"/>
        <v>35.919103</v>
      </c>
      <c r="I26" s="1061">
        <f t="shared" si="2"/>
        <v>37.276619669099993</v>
      </c>
    </row>
    <row r="27" spans="1:9">
      <c r="A27" s="107"/>
      <c r="B27" s="107"/>
      <c r="C27" s="108"/>
      <c r="D27" s="109"/>
      <c r="E27" s="107"/>
      <c r="F27" s="107"/>
      <c r="G27" s="107"/>
      <c r="H27" s="107"/>
    </row>
    <row r="28" spans="1:9">
      <c r="A28" s="1920" t="s">
        <v>1442</v>
      </c>
      <c r="B28" s="1920"/>
      <c r="C28" s="1920"/>
      <c r="D28" s="1920"/>
      <c r="E28" s="1920"/>
      <c r="F28" s="1920"/>
      <c r="G28" s="1920"/>
      <c r="H28" s="1920"/>
      <c r="I28" s="1920"/>
    </row>
    <row r="29" spans="1:9">
      <c r="A29" s="20"/>
      <c r="B29" s="20"/>
      <c r="C29" s="106"/>
      <c r="D29" s="106"/>
    </row>
    <row r="30" spans="1:9">
      <c r="A30" s="1488" t="s">
        <v>225</v>
      </c>
      <c r="B30" s="1488"/>
      <c r="C30" s="1488"/>
      <c r="D30" s="1488"/>
      <c r="E30" s="221"/>
      <c r="F30" s="1488" t="s">
        <v>226</v>
      </c>
      <c r="G30" s="1488"/>
      <c r="H30" s="1488"/>
      <c r="I30" s="1488"/>
    </row>
    <row r="31" spans="1:9">
      <c r="A31" s="1583" t="s">
        <v>1574</v>
      </c>
      <c r="B31" s="1583" t="s">
        <v>1575</v>
      </c>
      <c r="C31" s="1904" t="s">
        <v>227</v>
      </c>
      <c r="D31" s="1905" t="s">
        <v>228</v>
      </c>
      <c r="E31" s="1583" t="s">
        <v>1576</v>
      </c>
      <c r="F31" s="1583" t="s">
        <v>1577</v>
      </c>
      <c r="G31" s="1584" t="s">
        <v>618</v>
      </c>
      <c r="H31" s="1584" t="s">
        <v>619</v>
      </c>
      <c r="I31" s="1583" t="s">
        <v>617</v>
      </c>
    </row>
    <row r="32" spans="1:9">
      <c r="A32" s="1584"/>
      <c r="B32" s="1584"/>
      <c r="C32" s="1904"/>
      <c r="D32" s="1906"/>
      <c r="E32" s="1584"/>
      <c r="F32" s="1584"/>
      <c r="G32" s="1584"/>
      <c r="H32" s="1584"/>
      <c r="I32" s="1584"/>
    </row>
    <row r="33" spans="1:9">
      <c r="A33" s="1680"/>
      <c r="B33" s="1680"/>
      <c r="C33" s="1904"/>
      <c r="D33" s="1907"/>
      <c r="E33" s="1680"/>
      <c r="F33" s="1680"/>
      <c r="G33" s="1680"/>
      <c r="H33" s="1680"/>
      <c r="I33" s="1680"/>
    </row>
    <row r="34" spans="1:9">
      <c r="A34" s="1911" t="s">
        <v>2154</v>
      </c>
      <c r="B34" s="1912"/>
      <c r="C34" s="1912"/>
      <c r="D34" s="1912"/>
      <c r="E34" s="1912"/>
      <c r="F34" s="1912"/>
      <c r="G34" s="1912"/>
      <c r="H34" s="1912"/>
      <c r="I34" s="1913"/>
    </row>
    <row r="35" spans="1:9">
      <c r="A35" s="1914"/>
      <c r="B35" s="1915"/>
      <c r="C35" s="1915"/>
      <c r="D35" s="1915"/>
      <c r="E35" s="1915"/>
      <c r="F35" s="1915"/>
      <c r="G35" s="1915"/>
      <c r="H35" s="1915"/>
      <c r="I35" s="1916"/>
    </row>
    <row r="36" spans="1:9">
      <c r="A36" s="1914"/>
      <c r="B36" s="1915"/>
      <c r="C36" s="1915"/>
      <c r="D36" s="1915"/>
      <c r="E36" s="1915"/>
      <c r="F36" s="1915"/>
      <c r="G36" s="1915"/>
      <c r="H36" s="1915"/>
      <c r="I36" s="1916"/>
    </row>
    <row r="37" spans="1:9">
      <c r="A37" s="1914"/>
      <c r="B37" s="1915"/>
      <c r="C37" s="1915"/>
      <c r="D37" s="1915"/>
      <c r="E37" s="1915"/>
      <c r="F37" s="1915"/>
      <c r="G37" s="1915"/>
      <c r="H37" s="1915"/>
      <c r="I37" s="1916"/>
    </row>
    <row r="38" spans="1:9">
      <c r="A38" s="1914"/>
      <c r="B38" s="1915"/>
      <c r="C38" s="1915"/>
      <c r="D38" s="1915"/>
      <c r="E38" s="1915"/>
      <c r="F38" s="1915"/>
      <c r="G38" s="1915"/>
      <c r="H38" s="1915"/>
      <c r="I38" s="1916"/>
    </row>
    <row r="39" spans="1:9">
      <c r="A39" s="1914"/>
      <c r="B39" s="1915"/>
      <c r="C39" s="1915"/>
      <c r="D39" s="1915"/>
      <c r="E39" s="1915"/>
      <c r="F39" s="1915"/>
      <c r="G39" s="1915"/>
      <c r="H39" s="1915"/>
      <c r="I39" s="1916"/>
    </row>
    <row r="40" spans="1:9">
      <c r="A40" s="1914"/>
      <c r="B40" s="1915"/>
      <c r="C40" s="1915"/>
      <c r="D40" s="1915"/>
      <c r="E40" s="1915"/>
      <c r="F40" s="1915"/>
      <c r="G40" s="1915"/>
      <c r="H40" s="1915"/>
      <c r="I40" s="1916"/>
    </row>
    <row r="41" spans="1:9">
      <c r="A41" s="1914"/>
      <c r="B41" s="1915"/>
      <c r="C41" s="1915"/>
      <c r="D41" s="1915"/>
      <c r="E41" s="1915"/>
      <c r="F41" s="1915"/>
      <c r="G41" s="1915"/>
      <c r="H41" s="1915"/>
      <c r="I41" s="1916"/>
    </row>
    <row r="42" spans="1:9">
      <c r="A42" s="1914"/>
      <c r="B42" s="1915"/>
      <c r="C42" s="1915"/>
      <c r="D42" s="1915"/>
      <c r="E42" s="1915"/>
      <c r="F42" s="1915"/>
      <c r="G42" s="1915"/>
      <c r="H42" s="1915"/>
      <c r="I42" s="1916"/>
    </row>
    <row r="43" spans="1:9">
      <c r="A43" s="1917"/>
      <c r="B43" s="1918"/>
      <c r="C43" s="1918"/>
      <c r="D43" s="1918"/>
      <c r="E43" s="1918"/>
      <c r="F43" s="1918"/>
      <c r="G43" s="1918"/>
      <c r="H43" s="1918"/>
      <c r="I43" s="1919"/>
    </row>
    <row r="44" spans="1:9">
      <c r="A44" s="107"/>
      <c r="B44" s="107"/>
      <c r="C44" s="108"/>
      <c r="D44" s="109"/>
      <c r="E44" s="107"/>
      <c r="F44" s="107"/>
      <c r="G44" s="107"/>
      <c r="H44" s="107"/>
    </row>
    <row r="45" spans="1:9">
      <c r="A45" s="107"/>
      <c r="B45" s="107"/>
      <c r="C45" s="108"/>
      <c r="D45" s="109"/>
      <c r="E45" s="107"/>
      <c r="F45" s="107"/>
      <c r="G45" s="107"/>
      <c r="H45" s="107"/>
    </row>
    <row r="46" spans="1:9">
      <c r="A46" s="1920" t="s">
        <v>2024</v>
      </c>
      <c r="B46" s="1920"/>
      <c r="C46" s="1920"/>
      <c r="D46" s="1920"/>
      <c r="E46" s="1920"/>
      <c r="F46" s="1920"/>
      <c r="G46" s="1920"/>
      <c r="H46" s="1920"/>
      <c r="I46" s="1920"/>
    </row>
    <row r="47" spans="1:9">
      <c r="A47" s="20"/>
      <c r="B47" s="20"/>
      <c r="C47" s="106"/>
      <c r="D47" s="106"/>
    </row>
    <row r="48" spans="1:9">
      <c r="A48" s="1488" t="s">
        <v>225</v>
      </c>
      <c r="B48" s="1488"/>
      <c r="C48" s="1488"/>
      <c r="D48" s="1488"/>
      <c r="E48" s="221"/>
      <c r="F48" s="1488" t="s">
        <v>226</v>
      </c>
      <c r="G48" s="1488"/>
      <c r="H48" s="1488"/>
      <c r="I48" s="1488"/>
    </row>
    <row r="49" spans="1:9">
      <c r="A49" s="1583" t="s">
        <v>1574</v>
      </c>
      <c r="B49" s="1583" t="s">
        <v>1575</v>
      </c>
      <c r="C49" s="1904" t="s">
        <v>227</v>
      </c>
      <c r="D49" s="1905" t="s">
        <v>228</v>
      </c>
      <c r="E49" s="1583" t="s">
        <v>1576</v>
      </c>
      <c r="F49" s="1583" t="s">
        <v>1577</v>
      </c>
      <c r="G49" s="1584" t="s">
        <v>618</v>
      </c>
      <c r="H49" s="1584" t="s">
        <v>619</v>
      </c>
      <c r="I49" s="1583" t="s">
        <v>617</v>
      </c>
    </row>
    <row r="50" spans="1:9">
      <c r="A50" s="1584"/>
      <c r="B50" s="1584"/>
      <c r="C50" s="1904"/>
      <c r="D50" s="1906"/>
      <c r="E50" s="1584"/>
      <c r="F50" s="1584"/>
      <c r="G50" s="1584"/>
      <c r="H50" s="1584"/>
      <c r="I50" s="1584"/>
    </row>
    <row r="51" spans="1:9">
      <c r="A51" s="1680"/>
      <c r="B51" s="1680"/>
      <c r="C51" s="1904"/>
      <c r="D51" s="1907"/>
      <c r="E51" s="1680"/>
      <c r="F51" s="1680"/>
      <c r="G51" s="1680"/>
      <c r="H51" s="1680"/>
      <c r="I51" s="1680"/>
    </row>
    <row r="52" spans="1:9">
      <c r="A52" s="16"/>
      <c r="B52" s="16"/>
      <c r="C52" s="1056"/>
      <c r="D52" s="1057"/>
      <c r="E52" s="33"/>
      <c r="F52" s="33"/>
      <c r="G52" s="33"/>
      <c r="H52" s="33"/>
      <c r="I52" s="7"/>
    </row>
    <row r="53" spans="1:9" ht="42.75">
      <c r="A53" s="274" t="s">
        <v>2238</v>
      </c>
      <c r="B53" s="24" t="s">
        <v>2221</v>
      </c>
      <c r="C53" s="1056" t="s">
        <v>2024</v>
      </c>
      <c r="D53" s="1056" t="s">
        <v>2024</v>
      </c>
      <c r="E53" s="24">
        <v>2.7</v>
      </c>
      <c r="F53" s="24">
        <f>+E53*30%</f>
        <v>0.81</v>
      </c>
      <c r="G53" s="33">
        <v>0</v>
      </c>
      <c r="H53" s="33">
        <v>0</v>
      </c>
      <c r="I53" s="24">
        <f>+E53-SUM(F53:H53)</f>
        <v>1.8900000000000001</v>
      </c>
    </row>
    <row r="54" spans="1:9">
      <c r="A54" s="15"/>
      <c r="B54" s="33"/>
      <c r="C54" s="1056"/>
      <c r="D54" s="1057"/>
      <c r="E54" s="33"/>
      <c r="F54" s="33"/>
      <c r="G54" s="33"/>
      <c r="H54" s="33"/>
      <c r="I54" s="7"/>
    </row>
    <row r="55" spans="1:9">
      <c r="A55" s="15"/>
      <c r="B55" s="33"/>
      <c r="C55" s="1056"/>
      <c r="D55" s="1057"/>
      <c r="E55" s="33"/>
      <c r="F55" s="33"/>
      <c r="G55" s="33"/>
      <c r="H55" s="33"/>
      <c r="I55" s="7"/>
    </row>
    <row r="56" spans="1:9">
      <c r="A56" s="15"/>
      <c r="B56" s="33"/>
      <c r="C56" s="1056"/>
      <c r="D56" s="1057"/>
      <c r="E56" s="33"/>
      <c r="F56" s="33"/>
      <c r="G56" s="33"/>
      <c r="H56" s="33"/>
      <c r="I56" s="7"/>
    </row>
    <row r="57" spans="1:9">
      <c r="A57" s="15"/>
      <c r="B57" s="33"/>
      <c r="C57" s="1056"/>
      <c r="D57" s="1057"/>
      <c r="E57" s="33"/>
      <c r="F57" s="33"/>
      <c r="G57" s="33"/>
      <c r="H57" s="33"/>
      <c r="I57" s="7"/>
    </row>
    <row r="58" spans="1:9">
      <c r="A58" s="15"/>
      <c r="B58" s="33"/>
      <c r="C58" s="1056"/>
      <c r="D58" s="1057"/>
      <c r="E58" s="33"/>
      <c r="F58" s="33"/>
      <c r="G58" s="33"/>
      <c r="H58" s="33"/>
      <c r="I58" s="7"/>
    </row>
    <row r="59" spans="1:9">
      <c r="A59" s="15"/>
      <c r="B59" s="33"/>
      <c r="C59" s="1056"/>
      <c r="D59" s="1057"/>
      <c r="E59" s="33"/>
      <c r="F59" s="33"/>
      <c r="G59" s="33"/>
      <c r="H59" s="33"/>
      <c r="I59" s="7"/>
    </row>
    <row r="60" spans="1:9">
      <c r="A60" s="15"/>
      <c r="B60" s="33"/>
      <c r="C60" s="1056"/>
      <c r="D60" s="1057"/>
      <c r="E60" s="33"/>
      <c r="F60" s="33"/>
      <c r="G60" s="33"/>
      <c r="H60" s="33"/>
      <c r="I60" s="7"/>
    </row>
    <row r="61" spans="1:9">
      <c r="A61" s="15"/>
      <c r="B61" s="33"/>
      <c r="C61" s="1056"/>
      <c r="D61" s="1057"/>
      <c r="E61" s="33">
        <f>SUM(E53:E60)</f>
        <v>2.7</v>
      </c>
      <c r="F61" s="33">
        <f t="shared" ref="F61:I61" si="3">SUM(F53:F60)</f>
        <v>0.81</v>
      </c>
      <c r="G61" s="33">
        <f t="shared" si="3"/>
        <v>0</v>
      </c>
      <c r="H61" s="33">
        <f t="shared" si="3"/>
        <v>0</v>
      </c>
      <c r="I61" s="33">
        <f t="shared" si="3"/>
        <v>1.8900000000000001</v>
      </c>
    </row>
    <row r="62" spans="1:9">
      <c r="A62" s="107"/>
      <c r="B62" s="107"/>
      <c r="C62" s="108"/>
      <c r="D62" s="109"/>
      <c r="E62" s="107"/>
      <c r="F62" s="107"/>
      <c r="G62" s="107"/>
      <c r="H62" s="107"/>
    </row>
    <row r="63" spans="1:9">
      <c r="A63" s="1920" t="s">
        <v>1578</v>
      </c>
      <c r="B63" s="1920"/>
      <c r="C63" s="1920"/>
      <c r="D63" s="1920"/>
      <c r="E63" s="1920"/>
      <c r="F63" s="1920"/>
      <c r="G63" s="1920"/>
      <c r="H63" s="1920"/>
      <c r="I63" s="1920"/>
    </row>
    <row r="64" spans="1:9">
      <c r="A64" s="39" t="s">
        <v>148</v>
      </c>
      <c r="B64" s="39"/>
      <c r="C64" s="106"/>
      <c r="D64" s="110"/>
    </row>
    <row r="65" spans="1:4">
      <c r="A65" s="20" t="s">
        <v>616</v>
      </c>
      <c r="B65" s="20"/>
      <c r="C65" s="106"/>
      <c r="D65" s="110"/>
    </row>
  </sheetData>
  <mergeCells count="42">
    <mergeCell ref="I8:I10"/>
    <mergeCell ref="I31:I33"/>
    <mergeCell ref="A1:B1"/>
    <mergeCell ref="A63:I63"/>
    <mergeCell ref="A2:I2"/>
    <mergeCell ref="H3:I3"/>
    <mergeCell ref="A5:I5"/>
    <mergeCell ref="E8:E10"/>
    <mergeCell ref="B8:B10"/>
    <mergeCell ref="F8:F10"/>
    <mergeCell ref="A7:D7"/>
    <mergeCell ref="A8:A10"/>
    <mergeCell ref="C8:C10"/>
    <mergeCell ref="D8:D10"/>
    <mergeCell ref="F7:I7"/>
    <mergeCell ref="G8:G10"/>
    <mergeCell ref="H8:H10"/>
    <mergeCell ref="B11:B23"/>
    <mergeCell ref="A34:I43"/>
    <mergeCell ref="A46:I46"/>
    <mergeCell ref="A48:D48"/>
    <mergeCell ref="F48:I48"/>
    <mergeCell ref="A28:I28"/>
    <mergeCell ref="A30:D30"/>
    <mergeCell ref="F30:I30"/>
    <mergeCell ref="A31:A33"/>
    <mergeCell ref="B31:B33"/>
    <mergeCell ref="C31:C33"/>
    <mergeCell ref="D31:D33"/>
    <mergeCell ref="E31:E33"/>
    <mergeCell ref="F31:F33"/>
    <mergeCell ref="G31:G33"/>
    <mergeCell ref="H31:H33"/>
    <mergeCell ref="F49:F51"/>
    <mergeCell ref="G49:G51"/>
    <mergeCell ref="H49:H51"/>
    <mergeCell ref="I49:I51"/>
    <mergeCell ref="A49:A51"/>
    <mergeCell ref="B49:B51"/>
    <mergeCell ref="C49:C51"/>
    <mergeCell ref="D49:D51"/>
    <mergeCell ref="E49:E51"/>
  </mergeCells>
  <dataValidations disablePrompts="1" count="2">
    <dataValidation type="list" allowBlank="1" showInputMessage="1" showErrorMessage="1" sqref="WVA983083:WVA983091 WLE983083:WLE983091 WBI983083:WBI983091 VRM983083:VRM983091 VHQ983083:VHQ983091 UXU983083:UXU983091 UNY983083:UNY983091 UEC983083:UEC983091 TUG983083:TUG983091 TKK983083:TKK983091 TAO983083:TAO983091 SQS983083:SQS983091 SGW983083:SGW983091 RXA983083:RXA983091 RNE983083:RNE983091 RDI983083:RDI983091 QTM983083:QTM983091 QJQ983083:QJQ983091 PZU983083:PZU983091 PPY983083:PPY983091 PGC983083:PGC983091 OWG983083:OWG983091 OMK983083:OMK983091 OCO983083:OCO983091 NSS983083:NSS983091 NIW983083:NIW983091 MZA983083:MZA983091 MPE983083:MPE983091 MFI983083:MFI983091 LVM983083:LVM983091 LLQ983083:LLQ983091 LBU983083:LBU983091 KRY983083:KRY983091 KIC983083:KIC983091 JYG983083:JYG983091 JOK983083:JOK983091 JEO983083:JEO983091 IUS983083:IUS983091 IKW983083:IKW983091 IBA983083:IBA983091 HRE983083:HRE983091 HHI983083:HHI983091 GXM983083:GXM983091 GNQ983083:GNQ983091 GDU983083:GDU983091 FTY983083:FTY983091 FKC983083:FKC983091 FAG983083:FAG983091 EQK983083:EQK983091 EGO983083:EGO983091 DWS983083:DWS983091 DMW983083:DMW983091 DDA983083:DDA983091 CTE983083:CTE983091 CJI983083:CJI983091 BZM983083:BZM983091 BPQ983083:BPQ983091 BFU983083:BFU983091 AVY983083:AVY983091 AMC983083:AMC983091 ACG983083:ACG983091 SK983083:SK983091 IO983083:IO983091 WVA917547:WVA917555 WLE917547:WLE917555 WBI917547:WBI917555 VRM917547:VRM917555 VHQ917547:VHQ917555 UXU917547:UXU917555 UNY917547:UNY917555 UEC917547:UEC917555 TUG917547:TUG917555 TKK917547:TKK917555 TAO917547:TAO917555 SQS917547:SQS917555 SGW917547:SGW917555 RXA917547:RXA917555 RNE917547:RNE917555 RDI917547:RDI917555 QTM917547:QTM917555 QJQ917547:QJQ917555 PZU917547:PZU917555 PPY917547:PPY917555 PGC917547:PGC917555 OWG917547:OWG917555 OMK917547:OMK917555 OCO917547:OCO917555 NSS917547:NSS917555 NIW917547:NIW917555 MZA917547:MZA917555 MPE917547:MPE917555 MFI917547:MFI917555 LVM917547:LVM917555 LLQ917547:LLQ917555 LBU917547:LBU917555 KRY917547:KRY917555 KIC917547:KIC917555 JYG917547:JYG917555 JOK917547:JOK917555 JEO917547:JEO917555 IUS917547:IUS917555 IKW917547:IKW917555 IBA917547:IBA917555 HRE917547:HRE917555 HHI917547:HHI917555 GXM917547:GXM917555 GNQ917547:GNQ917555 GDU917547:GDU917555 FTY917547:FTY917555 FKC917547:FKC917555 FAG917547:FAG917555 EQK917547:EQK917555 EGO917547:EGO917555 DWS917547:DWS917555 DMW917547:DMW917555 DDA917547:DDA917555 CTE917547:CTE917555 CJI917547:CJI917555 BZM917547:BZM917555 BPQ917547:BPQ917555 BFU917547:BFU917555 AVY917547:AVY917555 AMC917547:AMC917555 ACG917547:ACG917555 SK917547:SK917555 IO917547:IO917555 WVA852011:WVA852019 WLE852011:WLE852019 WBI852011:WBI852019 VRM852011:VRM852019 VHQ852011:VHQ852019 UXU852011:UXU852019 UNY852011:UNY852019 UEC852011:UEC852019 TUG852011:TUG852019 TKK852011:TKK852019 TAO852011:TAO852019 SQS852011:SQS852019 SGW852011:SGW852019 RXA852011:RXA852019 RNE852011:RNE852019 RDI852011:RDI852019 QTM852011:QTM852019 QJQ852011:QJQ852019 PZU852011:PZU852019 PPY852011:PPY852019 PGC852011:PGC852019 OWG852011:OWG852019 OMK852011:OMK852019 OCO852011:OCO852019 NSS852011:NSS852019 NIW852011:NIW852019 MZA852011:MZA852019 MPE852011:MPE852019 MFI852011:MFI852019 LVM852011:LVM852019 LLQ852011:LLQ852019 LBU852011:LBU852019 KRY852011:KRY852019 KIC852011:KIC852019 JYG852011:JYG852019 JOK852011:JOK852019 JEO852011:JEO852019 IUS852011:IUS852019 IKW852011:IKW852019 IBA852011:IBA852019 HRE852011:HRE852019 HHI852011:HHI852019 GXM852011:GXM852019 GNQ852011:GNQ852019 GDU852011:GDU852019 FTY852011:FTY852019 FKC852011:FKC852019 FAG852011:FAG852019 EQK852011:EQK852019 EGO852011:EGO852019 DWS852011:DWS852019 DMW852011:DMW852019 DDA852011:DDA852019 CTE852011:CTE852019 CJI852011:CJI852019 BZM852011:BZM852019 BPQ852011:BPQ852019 BFU852011:BFU852019 AVY852011:AVY852019 AMC852011:AMC852019 ACG852011:ACG852019 SK852011:SK852019 IO852011:IO852019 WVA786475:WVA786483 WLE786475:WLE786483 WBI786475:WBI786483 VRM786475:VRM786483 VHQ786475:VHQ786483 UXU786475:UXU786483 UNY786475:UNY786483 UEC786475:UEC786483 TUG786475:TUG786483 TKK786475:TKK786483 TAO786475:TAO786483 SQS786475:SQS786483 SGW786475:SGW786483 RXA786475:RXA786483 RNE786475:RNE786483 RDI786475:RDI786483 QTM786475:QTM786483 QJQ786475:QJQ786483 PZU786475:PZU786483 PPY786475:PPY786483 PGC786475:PGC786483 OWG786475:OWG786483 OMK786475:OMK786483 OCO786475:OCO786483 NSS786475:NSS786483 NIW786475:NIW786483 MZA786475:MZA786483 MPE786475:MPE786483 MFI786475:MFI786483 LVM786475:LVM786483 LLQ786475:LLQ786483 LBU786475:LBU786483 KRY786475:KRY786483 KIC786475:KIC786483 JYG786475:JYG786483 JOK786475:JOK786483 JEO786475:JEO786483 IUS786475:IUS786483 IKW786475:IKW786483 IBA786475:IBA786483 HRE786475:HRE786483 HHI786475:HHI786483 GXM786475:GXM786483 GNQ786475:GNQ786483 GDU786475:GDU786483 FTY786475:FTY786483 FKC786475:FKC786483 FAG786475:FAG786483 EQK786475:EQK786483 EGO786475:EGO786483 DWS786475:DWS786483 DMW786475:DMW786483 DDA786475:DDA786483 CTE786475:CTE786483 CJI786475:CJI786483 BZM786475:BZM786483 BPQ786475:BPQ786483 BFU786475:BFU786483 AVY786475:AVY786483 AMC786475:AMC786483 ACG786475:ACG786483 SK786475:SK786483 IO786475:IO786483 WVA720939:WVA720947 WLE720939:WLE720947 WBI720939:WBI720947 VRM720939:VRM720947 VHQ720939:VHQ720947 UXU720939:UXU720947 UNY720939:UNY720947 UEC720939:UEC720947 TUG720939:TUG720947 TKK720939:TKK720947 TAO720939:TAO720947 SQS720939:SQS720947 SGW720939:SGW720947 RXA720939:RXA720947 RNE720939:RNE720947 RDI720939:RDI720947 QTM720939:QTM720947 QJQ720939:QJQ720947 PZU720939:PZU720947 PPY720939:PPY720947 PGC720939:PGC720947 OWG720939:OWG720947 OMK720939:OMK720947 OCO720939:OCO720947 NSS720939:NSS720947 NIW720939:NIW720947 MZA720939:MZA720947 MPE720939:MPE720947 MFI720939:MFI720947 LVM720939:LVM720947 LLQ720939:LLQ720947 LBU720939:LBU720947 KRY720939:KRY720947 KIC720939:KIC720947 JYG720939:JYG720947 JOK720939:JOK720947 JEO720939:JEO720947 IUS720939:IUS720947 IKW720939:IKW720947 IBA720939:IBA720947 HRE720939:HRE720947 HHI720939:HHI720947 GXM720939:GXM720947 GNQ720939:GNQ720947 GDU720939:GDU720947 FTY720939:FTY720947 FKC720939:FKC720947 FAG720939:FAG720947 EQK720939:EQK720947 EGO720939:EGO720947 DWS720939:DWS720947 DMW720939:DMW720947 DDA720939:DDA720947 CTE720939:CTE720947 CJI720939:CJI720947 BZM720939:BZM720947 BPQ720939:BPQ720947 BFU720939:BFU720947 AVY720939:AVY720947 AMC720939:AMC720947 ACG720939:ACG720947 SK720939:SK720947 IO720939:IO720947 WVA655403:WVA655411 WLE655403:WLE655411 WBI655403:WBI655411 VRM655403:VRM655411 VHQ655403:VHQ655411 UXU655403:UXU655411 UNY655403:UNY655411 UEC655403:UEC655411 TUG655403:TUG655411 TKK655403:TKK655411 TAO655403:TAO655411 SQS655403:SQS655411 SGW655403:SGW655411 RXA655403:RXA655411 RNE655403:RNE655411 RDI655403:RDI655411 QTM655403:QTM655411 QJQ655403:QJQ655411 PZU655403:PZU655411 PPY655403:PPY655411 PGC655403:PGC655411 OWG655403:OWG655411 OMK655403:OMK655411 OCO655403:OCO655411 NSS655403:NSS655411 NIW655403:NIW655411 MZA655403:MZA655411 MPE655403:MPE655411 MFI655403:MFI655411 LVM655403:LVM655411 LLQ655403:LLQ655411 LBU655403:LBU655411 KRY655403:KRY655411 KIC655403:KIC655411 JYG655403:JYG655411 JOK655403:JOK655411 JEO655403:JEO655411 IUS655403:IUS655411 IKW655403:IKW655411 IBA655403:IBA655411 HRE655403:HRE655411 HHI655403:HHI655411 GXM655403:GXM655411 GNQ655403:GNQ655411 GDU655403:GDU655411 FTY655403:FTY655411 FKC655403:FKC655411 FAG655403:FAG655411 EQK655403:EQK655411 EGO655403:EGO655411 DWS655403:DWS655411 DMW655403:DMW655411 DDA655403:DDA655411 CTE655403:CTE655411 CJI655403:CJI655411 BZM655403:BZM655411 BPQ655403:BPQ655411 BFU655403:BFU655411 AVY655403:AVY655411 AMC655403:AMC655411 ACG655403:ACG655411 SK655403:SK655411 IO655403:IO655411 WVA589867:WVA589875 WLE589867:WLE589875 WBI589867:WBI589875 VRM589867:VRM589875 VHQ589867:VHQ589875 UXU589867:UXU589875 UNY589867:UNY589875 UEC589867:UEC589875 TUG589867:TUG589875 TKK589867:TKK589875 TAO589867:TAO589875 SQS589867:SQS589875 SGW589867:SGW589875 RXA589867:RXA589875 RNE589867:RNE589875 RDI589867:RDI589875 QTM589867:QTM589875 QJQ589867:QJQ589875 PZU589867:PZU589875 PPY589867:PPY589875 PGC589867:PGC589875 OWG589867:OWG589875 OMK589867:OMK589875 OCO589867:OCO589875 NSS589867:NSS589875 NIW589867:NIW589875 MZA589867:MZA589875 MPE589867:MPE589875 MFI589867:MFI589875 LVM589867:LVM589875 LLQ589867:LLQ589875 LBU589867:LBU589875 KRY589867:KRY589875 KIC589867:KIC589875 JYG589867:JYG589875 JOK589867:JOK589875 JEO589867:JEO589875 IUS589867:IUS589875 IKW589867:IKW589875 IBA589867:IBA589875 HRE589867:HRE589875 HHI589867:HHI589875 GXM589867:GXM589875 GNQ589867:GNQ589875 GDU589867:GDU589875 FTY589867:FTY589875 FKC589867:FKC589875 FAG589867:FAG589875 EQK589867:EQK589875 EGO589867:EGO589875 DWS589867:DWS589875 DMW589867:DMW589875 DDA589867:DDA589875 CTE589867:CTE589875 CJI589867:CJI589875 BZM589867:BZM589875 BPQ589867:BPQ589875 BFU589867:BFU589875 AVY589867:AVY589875 AMC589867:AMC589875 ACG589867:ACG589875 SK589867:SK589875 IO589867:IO589875 WVA524331:WVA524339 WLE524331:WLE524339 WBI524331:WBI524339 VRM524331:VRM524339 VHQ524331:VHQ524339 UXU524331:UXU524339 UNY524331:UNY524339 UEC524331:UEC524339 TUG524331:TUG524339 TKK524331:TKK524339 TAO524331:TAO524339 SQS524331:SQS524339 SGW524331:SGW524339 RXA524331:RXA524339 RNE524331:RNE524339 RDI524331:RDI524339 QTM524331:QTM524339 QJQ524331:QJQ524339 PZU524331:PZU524339 PPY524331:PPY524339 PGC524331:PGC524339 OWG524331:OWG524339 OMK524331:OMK524339 OCO524331:OCO524339 NSS524331:NSS524339 NIW524331:NIW524339 MZA524331:MZA524339 MPE524331:MPE524339 MFI524331:MFI524339 LVM524331:LVM524339 LLQ524331:LLQ524339 LBU524331:LBU524339 KRY524331:KRY524339 KIC524331:KIC524339 JYG524331:JYG524339 JOK524331:JOK524339 JEO524331:JEO524339 IUS524331:IUS524339 IKW524331:IKW524339 IBA524331:IBA524339 HRE524331:HRE524339 HHI524331:HHI524339 GXM524331:GXM524339 GNQ524331:GNQ524339 GDU524331:GDU524339 FTY524331:FTY524339 FKC524331:FKC524339 FAG524331:FAG524339 EQK524331:EQK524339 EGO524331:EGO524339 DWS524331:DWS524339 DMW524331:DMW524339 DDA524331:DDA524339 CTE524331:CTE524339 CJI524331:CJI524339 BZM524331:BZM524339 BPQ524331:BPQ524339 BFU524331:BFU524339 AVY524331:AVY524339 AMC524331:AMC524339 ACG524331:ACG524339 SK524331:SK524339 IO524331:IO524339 WVA458795:WVA458803 WLE458795:WLE458803 WBI458795:WBI458803 VRM458795:VRM458803 VHQ458795:VHQ458803 UXU458795:UXU458803 UNY458795:UNY458803 UEC458795:UEC458803 TUG458795:TUG458803 TKK458795:TKK458803 TAO458795:TAO458803 SQS458795:SQS458803 SGW458795:SGW458803 RXA458795:RXA458803 RNE458795:RNE458803 RDI458795:RDI458803 QTM458795:QTM458803 QJQ458795:QJQ458803 PZU458795:PZU458803 PPY458795:PPY458803 PGC458795:PGC458803 OWG458795:OWG458803 OMK458795:OMK458803 OCO458795:OCO458803 NSS458795:NSS458803 NIW458795:NIW458803 MZA458795:MZA458803 MPE458795:MPE458803 MFI458795:MFI458803 LVM458795:LVM458803 LLQ458795:LLQ458803 LBU458795:LBU458803 KRY458795:KRY458803 KIC458795:KIC458803 JYG458795:JYG458803 JOK458795:JOK458803 JEO458795:JEO458803 IUS458795:IUS458803 IKW458795:IKW458803 IBA458795:IBA458803 HRE458795:HRE458803 HHI458795:HHI458803 GXM458795:GXM458803 GNQ458795:GNQ458803 GDU458795:GDU458803 FTY458795:FTY458803 FKC458795:FKC458803 FAG458795:FAG458803 EQK458795:EQK458803 EGO458795:EGO458803 DWS458795:DWS458803 DMW458795:DMW458803 DDA458795:DDA458803 CTE458795:CTE458803 CJI458795:CJI458803 BZM458795:BZM458803 BPQ458795:BPQ458803 BFU458795:BFU458803 AVY458795:AVY458803 AMC458795:AMC458803 ACG458795:ACG458803 SK458795:SK458803 IO458795:IO458803 WVA393259:WVA393267 WLE393259:WLE393267 WBI393259:WBI393267 VRM393259:VRM393267 VHQ393259:VHQ393267 UXU393259:UXU393267 UNY393259:UNY393267 UEC393259:UEC393267 TUG393259:TUG393267 TKK393259:TKK393267 TAO393259:TAO393267 SQS393259:SQS393267 SGW393259:SGW393267 RXA393259:RXA393267 RNE393259:RNE393267 RDI393259:RDI393267 QTM393259:QTM393267 QJQ393259:QJQ393267 PZU393259:PZU393267 PPY393259:PPY393267 PGC393259:PGC393267 OWG393259:OWG393267 OMK393259:OMK393267 OCO393259:OCO393267 NSS393259:NSS393267 NIW393259:NIW393267 MZA393259:MZA393267 MPE393259:MPE393267 MFI393259:MFI393267 LVM393259:LVM393267 LLQ393259:LLQ393267 LBU393259:LBU393267 KRY393259:KRY393267 KIC393259:KIC393267 JYG393259:JYG393267 JOK393259:JOK393267 JEO393259:JEO393267 IUS393259:IUS393267 IKW393259:IKW393267 IBA393259:IBA393267 HRE393259:HRE393267 HHI393259:HHI393267 GXM393259:GXM393267 GNQ393259:GNQ393267 GDU393259:GDU393267 FTY393259:FTY393267 FKC393259:FKC393267 FAG393259:FAG393267 EQK393259:EQK393267 EGO393259:EGO393267 DWS393259:DWS393267 DMW393259:DMW393267 DDA393259:DDA393267 CTE393259:CTE393267 CJI393259:CJI393267 BZM393259:BZM393267 BPQ393259:BPQ393267 BFU393259:BFU393267 AVY393259:AVY393267 AMC393259:AMC393267 ACG393259:ACG393267 SK393259:SK393267 IO393259:IO393267 WVA327723:WVA327731 WLE327723:WLE327731 WBI327723:WBI327731 VRM327723:VRM327731 VHQ327723:VHQ327731 UXU327723:UXU327731 UNY327723:UNY327731 UEC327723:UEC327731 TUG327723:TUG327731 TKK327723:TKK327731 TAO327723:TAO327731 SQS327723:SQS327731 SGW327723:SGW327731 RXA327723:RXA327731 RNE327723:RNE327731 RDI327723:RDI327731 QTM327723:QTM327731 QJQ327723:QJQ327731 PZU327723:PZU327731 PPY327723:PPY327731 PGC327723:PGC327731 OWG327723:OWG327731 OMK327723:OMK327731 OCO327723:OCO327731 NSS327723:NSS327731 NIW327723:NIW327731 MZA327723:MZA327731 MPE327723:MPE327731 MFI327723:MFI327731 LVM327723:LVM327731 LLQ327723:LLQ327731 LBU327723:LBU327731 KRY327723:KRY327731 KIC327723:KIC327731 JYG327723:JYG327731 JOK327723:JOK327731 JEO327723:JEO327731 IUS327723:IUS327731 IKW327723:IKW327731 IBA327723:IBA327731 HRE327723:HRE327731 HHI327723:HHI327731 GXM327723:GXM327731 GNQ327723:GNQ327731 GDU327723:GDU327731 FTY327723:FTY327731 FKC327723:FKC327731 FAG327723:FAG327731 EQK327723:EQK327731 EGO327723:EGO327731 DWS327723:DWS327731 DMW327723:DMW327731 DDA327723:DDA327731 CTE327723:CTE327731 CJI327723:CJI327731 BZM327723:BZM327731 BPQ327723:BPQ327731 BFU327723:BFU327731 AVY327723:AVY327731 AMC327723:AMC327731 ACG327723:ACG327731 SK327723:SK327731 IO327723:IO327731 WVA262187:WVA262195 WLE262187:WLE262195 WBI262187:WBI262195 VRM262187:VRM262195 VHQ262187:VHQ262195 UXU262187:UXU262195 UNY262187:UNY262195 UEC262187:UEC262195 TUG262187:TUG262195 TKK262187:TKK262195 TAO262187:TAO262195 SQS262187:SQS262195 SGW262187:SGW262195 RXA262187:RXA262195 RNE262187:RNE262195 RDI262187:RDI262195 QTM262187:QTM262195 QJQ262187:QJQ262195 PZU262187:PZU262195 PPY262187:PPY262195 PGC262187:PGC262195 OWG262187:OWG262195 OMK262187:OMK262195 OCO262187:OCO262195 NSS262187:NSS262195 NIW262187:NIW262195 MZA262187:MZA262195 MPE262187:MPE262195 MFI262187:MFI262195 LVM262187:LVM262195 LLQ262187:LLQ262195 LBU262187:LBU262195 KRY262187:KRY262195 KIC262187:KIC262195 JYG262187:JYG262195 JOK262187:JOK262195 JEO262187:JEO262195 IUS262187:IUS262195 IKW262187:IKW262195 IBA262187:IBA262195 HRE262187:HRE262195 HHI262187:HHI262195 GXM262187:GXM262195 GNQ262187:GNQ262195 GDU262187:GDU262195 FTY262187:FTY262195 FKC262187:FKC262195 FAG262187:FAG262195 EQK262187:EQK262195 EGO262187:EGO262195 DWS262187:DWS262195 DMW262187:DMW262195 DDA262187:DDA262195 CTE262187:CTE262195 CJI262187:CJI262195 BZM262187:BZM262195 BPQ262187:BPQ262195 BFU262187:BFU262195 AVY262187:AVY262195 AMC262187:AMC262195 ACG262187:ACG262195 SK262187:SK262195 IO262187:IO262195 WVA196651:WVA196659 WLE196651:WLE196659 WBI196651:WBI196659 VRM196651:VRM196659 VHQ196651:VHQ196659 UXU196651:UXU196659 UNY196651:UNY196659 UEC196651:UEC196659 TUG196651:TUG196659 TKK196651:TKK196659 TAO196651:TAO196659 SQS196651:SQS196659 SGW196651:SGW196659 RXA196651:RXA196659 RNE196651:RNE196659 RDI196651:RDI196659 QTM196651:QTM196659 QJQ196651:QJQ196659 PZU196651:PZU196659 PPY196651:PPY196659 PGC196651:PGC196659 OWG196651:OWG196659 OMK196651:OMK196659 OCO196651:OCO196659 NSS196651:NSS196659 NIW196651:NIW196659 MZA196651:MZA196659 MPE196651:MPE196659 MFI196651:MFI196659 LVM196651:LVM196659 LLQ196651:LLQ196659 LBU196651:LBU196659 KRY196651:KRY196659 KIC196651:KIC196659 JYG196651:JYG196659 JOK196651:JOK196659 JEO196651:JEO196659 IUS196651:IUS196659 IKW196651:IKW196659 IBA196651:IBA196659 HRE196651:HRE196659 HHI196651:HHI196659 GXM196651:GXM196659 GNQ196651:GNQ196659 GDU196651:GDU196659 FTY196651:FTY196659 FKC196651:FKC196659 FAG196651:FAG196659 EQK196651:EQK196659 EGO196651:EGO196659 DWS196651:DWS196659 DMW196651:DMW196659 DDA196651:DDA196659 CTE196651:CTE196659 CJI196651:CJI196659 BZM196651:BZM196659 BPQ196651:BPQ196659 BFU196651:BFU196659 AVY196651:AVY196659 AMC196651:AMC196659 ACG196651:ACG196659 SK196651:SK196659 IO196651:IO196659 WVA131115:WVA131123 WLE131115:WLE131123 WBI131115:WBI131123 VRM131115:VRM131123 VHQ131115:VHQ131123 UXU131115:UXU131123 UNY131115:UNY131123 UEC131115:UEC131123 TUG131115:TUG131123 TKK131115:TKK131123 TAO131115:TAO131123 SQS131115:SQS131123 SGW131115:SGW131123 RXA131115:RXA131123 RNE131115:RNE131123 RDI131115:RDI131123 QTM131115:QTM131123 QJQ131115:QJQ131123 PZU131115:PZU131123 PPY131115:PPY131123 PGC131115:PGC131123 OWG131115:OWG131123 OMK131115:OMK131123 OCO131115:OCO131123 NSS131115:NSS131123 NIW131115:NIW131123 MZA131115:MZA131123 MPE131115:MPE131123 MFI131115:MFI131123 LVM131115:LVM131123 LLQ131115:LLQ131123 LBU131115:LBU131123 KRY131115:KRY131123 KIC131115:KIC131123 JYG131115:JYG131123 JOK131115:JOK131123 JEO131115:JEO131123 IUS131115:IUS131123 IKW131115:IKW131123 IBA131115:IBA131123 HRE131115:HRE131123 HHI131115:HHI131123 GXM131115:GXM131123 GNQ131115:GNQ131123 GDU131115:GDU131123 FTY131115:FTY131123 FKC131115:FKC131123 FAG131115:FAG131123 EQK131115:EQK131123 EGO131115:EGO131123 DWS131115:DWS131123 DMW131115:DMW131123 DDA131115:DDA131123 CTE131115:CTE131123 CJI131115:CJI131123 BZM131115:BZM131123 BPQ131115:BPQ131123 BFU131115:BFU131123 AVY131115:AVY131123 AMC131115:AMC131123 ACG131115:ACG131123 SK131115:SK131123 IO131115:IO131123 WVA65579:WVA65587 WLE65579:WLE65587 WBI65579:WBI65587 VRM65579:VRM65587 VHQ65579:VHQ65587 UXU65579:UXU65587 UNY65579:UNY65587 UEC65579:UEC65587 TUG65579:TUG65587 TKK65579:TKK65587 TAO65579:TAO65587 SQS65579:SQS65587 SGW65579:SGW65587 RXA65579:RXA65587 RNE65579:RNE65587 RDI65579:RDI65587 QTM65579:QTM65587 QJQ65579:QJQ65587 PZU65579:PZU65587 PPY65579:PPY65587 PGC65579:PGC65587 OWG65579:OWG65587 OMK65579:OMK65587 OCO65579:OCO65587 NSS65579:NSS65587 NIW65579:NIW65587 MZA65579:MZA65587 MPE65579:MPE65587 MFI65579:MFI65587 LVM65579:LVM65587 LLQ65579:LLQ65587 LBU65579:LBU65587 KRY65579:KRY65587 KIC65579:KIC65587 JYG65579:JYG65587 JOK65579:JOK65587 JEO65579:JEO65587 IUS65579:IUS65587 IKW65579:IKW65587 IBA65579:IBA65587 HRE65579:HRE65587 HHI65579:HHI65587 GXM65579:GXM65587 GNQ65579:GNQ65587 GDU65579:GDU65587 FTY65579:FTY65587 FKC65579:FKC65587 FAG65579:FAG65587 EQK65579:EQK65587 EGO65579:EGO65587 DWS65579:DWS65587 DMW65579:DMW65587 DDA65579:DDA65587 CTE65579:CTE65587 CJI65579:CJI65587 BZM65579:BZM65587 BPQ65579:BPQ65587 BFU65579:BFU65587 AVY65579:AVY65587 AMC65579:AMC65587 ACG65579:ACG65587 SK65579:SK65587 IO65579:IO65587 WLE12:WLE27 WBI12:WBI27 VRM12:VRM27 VHQ12:VHQ27 UXU12:UXU27 UNY12:UNY27 UEC12:UEC27 TUG12:TUG27 TKK12:TKK27 TAO12:TAO27 SQS12:SQS27 SGW12:SGW27 RXA12:RXA27 RNE12:RNE27 RDI12:RDI27 QTM12:QTM27 QJQ12:QJQ27 PZU12:PZU27 PPY12:PPY27 PGC12:PGC27 OWG12:OWG27 OMK12:OMK27 OCO12:OCO27 NSS12:NSS27 NIW12:NIW27 MZA12:MZA27 MPE12:MPE27 MFI12:MFI27 LVM12:LVM27 LLQ12:LLQ27 LBU12:LBU27 KRY12:KRY27 KIC12:KIC27 JYG12:JYG27 JOK12:JOK27 JEO12:JEO27 IUS12:IUS27 IKW12:IKW27 IBA12:IBA27 HRE12:HRE27 HHI12:HHI27 GXM12:GXM27 GNQ12:GNQ27 GDU12:GDU27 FTY12:FTY27 FKC12:FKC27 FAG12:FAG27 EQK12:EQK27 EGO12:EGO27 DWS12:DWS27 DMW12:DMW27 DDA12:DDA27 CTE12:CTE27 CJI12:CJI27 BZM12:BZM27 BPQ12:BPQ27 BFU12:BFU27 AVY12:AVY27 AMC12:AMC27 ACG12:ACG27 SK12:SK27 IO12:IO27 WVA12:WVA27 WBI35:WBI45 VRM35:VRM45 VHQ35:VHQ45 UXU35:UXU45 UNY35:UNY45 UEC35:UEC45 TUG35:TUG45 TKK35:TKK45 TAO35:TAO45 SQS35:SQS45 SGW35:SGW45 RXA35:RXA45 RNE35:RNE45 RDI35:RDI45 QTM35:QTM45 QJQ35:QJQ45 PZU35:PZU45 PPY35:PPY45 PGC35:PGC45 OWG35:OWG45 OMK35:OMK45 OCO35:OCO45 NSS35:NSS45 NIW35:NIW45 MZA35:MZA45 MPE35:MPE45 MFI35:MFI45 LVM35:LVM45 LLQ35:LLQ45 LBU35:LBU45 KRY35:KRY45 KIC35:KIC45 JYG35:JYG45 JOK35:JOK45 JEO35:JEO45 IUS35:IUS45 IKW35:IKW45 IBA35:IBA45 HRE35:HRE45 HHI35:HHI45 GXM35:GXM45 GNQ35:GNQ45 GDU35:GDU45 FTY35:FTY45 FKC35:FKC45 FAG35:FAG45 EQK35:EQK45 EGO35:EGO45 DWS35:DWS45 DMW35:DMW45 DDA35:DDA45 CTE35:CTE45 CJI35:CJI45 BZM35:BZM45 BPQ35:BPQ45 BFU35:BFU45 AVY35:AVY45 AMC35:AMC45 ACG35:ACG45 SK35:SK45 IO35:IO45 WVA35:WVA45 WLE35:WLE45 WBI53:WBI62 VRM53:VRM62 VHQ53:VHQ62 UXU53:UXU62 UNY53:UNY62 UEC53:UEC62 TUG53:TUG62 TKK53:TKK62 TAO53:TAO62 SQS53:SQS62 SGW53:SGW62 RXA53:RXA62 RNE53:RNE62 RDI53:RDI62 QTM53:QTM62 QJQ53:QJQ62 PZU53:PZU62 PPY53:PPY62 PGC53:PGC62 OWG53:OWG62 OMK53:OMK62 OCO53:OCO62 NSS53:NSS62 NIW53:NIW62 MZA53:MZA62 MPE53:MPE62 MFI53:MFI62 LVM53:LVM62 LLQ53:LLQ62 LBU53:LBU62 KRY53:KRY62 KIC53:KIC62 JYG53:JYG62 JOK53:JOK62 JEO53:JEO62 IUS53:IUS62 IKW53:IKW62 IBA53:IBA62 HRE53:HRE62 HHI53:HHI62 GXM53:GXM62 GNQ53:GNQ62 GDU53:GDU62 FTY53:FTY62 FKC53:FKC62 FAG53:FAG62 EQK53:EQK62 EGO53:EGO62 DWS53:DWS62 DMW53:DMW62 DDA53:DDA62 CTE53:CTE62 CJI53:CJI62 BZM53:BZM62 BPQ53:BPQ62 BFU53:BFU62 AVY53:AVY62 AMC53:AMC62 ACG53:ACG62 SK53:SK62 IO53:IO62 WVA53:WVA62 WLE53:WLE62" xr:uid="{00000000-0002-0000-2B00-000000000000}">
      <formula1>#REF!</formula1>
    </dataValidation>
    <dataValidation allowBlank="1" showInputMessage="1" showErrorMessage="1" sqref="IP20 SL20 ACH20 AMD20 AVZ20 BFV20 BPR20 BZN20 CJJ20 CTF20 DDB20 DMX20 DWT20 EGP20 EQL20 FAH20 FKD20 FTZ20 GDV20 GNR20 GXN20 HHJ20 HRF20 IBB20 IKX20 IUT20 JEP20 JOL20 JYH20 KID20 KRZ20 LBV20 LLR20 LVN20 MFJ20 MPF20 MZB20 NIX20 NST20 OCP20 OML20 OWH20 PGD20 PPZ20 PZV20 QJR20 QTN20 RDJ20 RNF20 RXB20 SGX20 SQT20 TAP20 TKL20 TUH20 UED20 UNZ20 UXV20 VHR20 VRN20 WBJ20 WLF20 WVB20 IP65581 SL65581 ACH65581 AMD65581 AVZ65581 BFV65581 BPR65581 BZN65581 CJJ65581 CTF65581 DDB65581 DMX65581 DWT65581 EGP65581 EQL65581 FAH65581 FKD65581 FTZ65581 GDV65581 GNR65581 GXN65581 HHJ65581 HRF65581 IBB65581 IKX65581 IUT65581 JEP65581 JOL65581 JYH65581 KID65581 KRZ65581 LBV65581 LLR65581 LVN65581 MFJ65581 MPF65581 MZB65581 NIX65581 NST65581 OCP65581 OML65581 OWH65581 PGD65581 PPZ65581 PZV65581 QJR65581 QTN65581 RDJ65581 RNF65581 RXB65581 SGX65581 SQT65581 TAP65581 TKL65581 TUH65581 UED65581 UNZ65581 UXV65581 VHR65581 VRN65581 WBJ65581 WLF65581 WVB65581 IP131117 SL131117 ACH131117 AMD131117 AVZ131117 BFV131117 BPR131117 BZN131117 CJJ131117 CTF131117 DDB131117 DMX131117 DWT131117 EGP131117 EQL131117 FAH131117 FKD131117 FTZ131117 GDV131117 GNR131117 GXN131117 HHJ131117 HRF131117 IBB131117 IKX131117 IUT131117 JEP131117 JOL131117 JYH131117 KID131117 KRZ131117 LBV131117 LLR131117 LVN131117 MFJ131117 MPF131117 MZB131117 NIX131117 NST131117 OCP131117 OML131117 OWH131117 PGD131117 PPZ131117 PZV131117 QJR131117 QTN131117 RDJ131117 RNF131117 RXB131117 SGX131117 SQT131117 TAP131117 TKL131117 TUH131117 UED131117 UNZ131117 UXV131117 VHR131117 VRN131117 WBJ131117 WLF131117 WVB131117 IP196653 SL196653 ACH196653 AMD196653 AVZ196653 BFV196653 BPR196653 BZN196653 CJJ196653 CTF196653 DDB196653 DMX196653 DWT196653 EGP196653 EQL196653 FAH196653 FKD196653 FTZ196653 GDV196653 GNR196653 GXN196653 HHJ196653 HRF196653 IBB196653 IKX196653 IUT196653 JEP196653 JOL196653 JYH196653 KID196653 KRZ196653 LBV196653 LLR196653 LVN196653 MFJ196653 MPF196653 MZB196653 NIX196653 NST196653 OCP196653 OML196653 OWH196653 PGD196653 PPZ196653 PZV196653 QJR196653 QTN196653 RDJ196653 RNF196653 RXB196653 SGX196653 SQT196653 TAP196653 TKL196653 TUH196653 UED196653 UNZ196653 UXV196653 VHR196653 VRN196653 WBJ196653 WLF196653 WVB196653 IP262189 SL262189 ACH262189 AMD262189 AVZ262189 BFV262189 BPR262189 BZN262189 CJJ262189 CTF262189 DDB262189 DMX262189 DWT262189 EGP262189 EQL262189 FAH262189 FKD262189 FTZ262189 GDV262189 GNR262189 GXN262189 HHJ262189 HRF262189 IBB262189 IKX262189 IUT262189 JEP262189 JOL262189 JYH262189 KID262189 KRZ262189 LBV262189 LLR262189 LVN262189 MFJ262189 MPF262189 MZB262189 NIX262189 NST262189 OCP262189 OML262189 OWH262189 PGD262189 PPZ262189 PZV262189 QJR262189 QTN262189 RDJ262189 RNF262189 RXB262189 SGX262189 SQT262189 TAP262189 TKL262189 TUH262189 UED262189 UNZ262189 UXV262189 VHR262189 VRN262189 WBJ262189 WLF262189 WVB262189 IP327725 SL327725 ACH327725 AMD327725 AVZ327725 BFV327725 BPR327725 BZN327725 CJJ327725 CTF327725 DDB327725 DMX327725 DWT327725 EGP327725 EQL327725 FAH327725 FKD327725 FTZ327725 GDV327725 GNR327725 GXN327725 HHJ327725 HRF327725 IBB327725 IKX327725 IUT327725 JEP327725 JOL327725 JYH327725 KID327725 KRZ327725 LBV327725 LLR327725 LVN327725 MFJ327725 MPF327725 MZB327725 NIX327725 NST327725 OCP327725 OML327725 OWH327725 PGD327725 PPZ327725 PZV327725 QJR327725 QTN327725 RDJ327725 RNF327725 RXB327725 SGX327725 SQT327725 TAP327725 TKL327725 TUH327725 UED327725 UNZ327725 UXV327725 VHR327725 VRN327725 WBJ327725 WLF327725 WVB327725 IP393261 SL393261 ACH393261 AMD393261 AVZ393261 BFV393261 BPR393261 BZN393261 CJJ393261 CTF393261 DDB393261 DMX393261 DWT393261 EGP393261 EQL393261 FAH393261 FKD393261 FTZ393261 GDV393261 GNR393261 GXN393261 HHJ393261 HRF393261 IBB393261 IKX393261 IUT393261 JEP393261 JOL393261 JYH393261 KID393261 KRZ393261 LBV393261 LLR393261 LVN393261 MFJ393261 MPF393261 MZB393261 NIX393261 NST393261 OCP393261 OML393261 OWH393261 PGD393261 PPZ393261 PZV393261 QJR393261 QTN393261 RDJ393261 RNF393261 RXB393261 SGX393261 SQT393261 TAP393261 TKL393261 TUH393261 UED393261 UNZ393261 UXV393261 VHR393261 VRN393261 WBJ393261 WLF393261 WVB393261 IP458797 SL458797 ACH458797 AMD458797 AVZ458797 BFV458797 BPR458797 BZN458797 CJJ458797 CTF458797 DDB458797 DMX458797 DWT458797 EGP458797 EQL458797 FAH458797 FKD458797 FTZ458797 GDV458797 GNR458797 GXN458797 HHJ458797 HRF458797 IBB458797 IKX458797 IUT458797 JEP458797 JOL458797 JYH458797 KID458797 KRZ458797 LBV458797 LLR458797 LVN458797 MFJ458797 MPF458797 MZB458797 NIX458797 NST458797 OCP458797 OML458797 OWH458797 PGD458797 PPZ458797 PZV458797 QJR458797 QTN458797 RDJ458797 RNF458797 RXB458797 SGX458797 SQT458797 TAP458797 TKL458797 TUH458797 UED458797 UNZ458797 UXV458797 VHR458797 VRN458797 WBJ458797 WLF458797 WVB458797 IP524333 SL524333 ACH524333 AMD524333 AVZ524333 BFV524333 BPR524333 BZN524333 CJJ524333 CTF524333 DDB524333 DMX524333 DWT524333 EGP524333 EQL524333 FAH524333 FKD524333 FTZ524333 GDV524333 GNR524333 GXN524333 HHJ524333 HRF524333 IBB524333 IKX524333 IUT524333 JEP524333 JOL524333 JYH524333 KID524333 KRZ524333 LBV524333 LLR524333 LVN524333 MFJ524333 MPF524333 MZB524333 NIX524333 NST524333 OCP524333 OML524333 OWH524333 PGD524333 PPZ524333 PZV524333 QJR524333 QTN524333 RDJ524333 RNF524333 RXB524333 SGX524333 SQT524333 TAP524333 TKL524333 TUH524333 UED524333 UNZ524333 UXV524333 VHR524333 VRN524333 WBJ524333 WLF524333 WVB524333 IP589869 SL589869 ACH589869 AMD589869 AVZ589869 BFV589869 BPR589869 BZN589869 CJJ589869 CTF589869 DDB589869 DMX589869 DWT589869 EGP589869 EQL589869 FAH589869 FKD589869 FTZ589869 GDV589869 GNR589869 GXN589869 HHJ589869 HRF589869 IBB589869 IKX589869 IUT589869 JEP589869 JOL589869 JYH589869 KID589869 KRZ589869 LBV589869 LLR589869 LVN589869 MFJ589869 MPF589869 MZB589869 NIX589869 NST589869 OCP589869 OML589869 OWH589869 PGD589869 PPZ589869 PZV589869 QJR589869 QTN589869 RDJ589869 RNF589869 RXB589869 SGX589869 SQT589869 TAP589869 TKL589869 TUH589869 UED589869 UNZ589869 UXV589869 VHR589869 VRN589869 WBJ589869 WLF589869 WVB589869 IP655405 SL655405 ACH655405 AMD655405 AVZ655405 BFV655405 BPR655405 BZN655405 CJJ655405 CTF655405 DDB655405 DMX655405 DWT655405 EGP655405 EQL655405 FAH655405 FKD655405 FTZ655405 GDV655405 GNR655405 GXN655405 HHJ655405 HRF655405 IBB655405 IKX655405 IUT655405 JEP655405 JOL655405 JYH655405 KID655405 KRZ655405 LBV655405 LLR655405 LVN655405 MFJ655405 MPF655405 MZB655405 NIX655405 NST655405 OCP655405 OML655405 OWH655405 PGD655405 PPZ655405 PZV655405 QJR655405 QTN655405 RDJ655405 RNF655405 RXB655405 SGX655405 SQT655405 TAP655405 TKL655405 TUH655405 UED655405 UNZ655405 UXV655405 VHR655405 VRN655405 WBJ655405 WLF655405 WVB655405 IP720941 SL720941 ACH720941 AMD720941 AVZ720941 BFV720941 BPR720941 BZN720941 CJJ720941 CTF720941 DDB720941 DMX720941 DWT720941 EGP720941 EQL720941 FAH720941 FKD720941 FTZ720941 GDV720941 GNR720941 GXN720941 HHJ720941 HRF720941 IBB720941 IKX720941 IUT720941 JEP720941 JOL720941 JYH720941 KID720941 KRZ720941 LBV720941 LLR720941 LVN720941 MFJ720941 MPF720941 MZB720941 NIX720941 NST720941 OCP720941 OML720941 OWH720941 PGD720941 PPZ720941 PZV720941 QJR720941 QTN720941 RDJ720941 RNF720941 RXB720941 SGX720941 SQT720941 TAP720941 TKL720941 TUH720941 UED720941 UNZ720941 UXV720941 VHR720941 VRN720941 WBJ720941 WLF720941 WVB720941 IP786477 SL786477 ACH786477 AMD786477 AVZ786477 BFV786477 BPR786477 BZN786477 CJJ786477 CTF786477 DDB786477 DMX786477 DWT786477 EGP786477 EQL786477 FAH786477 FKD786477 FTZ786477 GDV786477 GNR786477 GXN786477 HHJ786477 HRF786477 IBB786477 IKX786477 IUT786477 JEP786477 JOL786477 JYH786477 KID786477 KRZ786477 LBV786477 LLR786477 LVN786477 MFJ786477 MPF786477 MZB786477 NIX786477 NST786477 OCP786477 OML786477 OWH786477 PGD786477 PPZ786477 PZV786477 QJR786477 QTN786477 RDJ786477 RNF786477 RXB786477 SGX786477 SQT786477 TAP786477 TKL786477 TUH786477 UED786477 UNZ786477 UXV786477 VHR786477 VRN786477 WBJ786477 WLF786477 WVB786477 IP852013 SL852013 ACH852013 AMD852013 AVZ852013 BFV852013 BPR852013 BZN852013 CJJ852013 CTF852013 DDB852013 DMX852013 DWT852013 EGP852013 EQL852013 FAH852013 FKD852013 FTZ852013 GDV852013 GNR852013 GXN852013 HHJ852013 HRF852013 IBB852013 IKX852013 IUT852013 JEP852013 JOL852013 JYH852013 KID852013 KRZ852013 LBV852013 LLR852013 LVN852013 MFJ852013 MPF852013 MZB852013 NIX852013 NST852013 OCP852013 OML852013 OWH852013 PGD852013 PPZ852013 PZV852013 QJR852013 QTN852013 RDJ852013 RNF852013 RXB852013 SGX852013 SQT852013 TAP852013 TKL852013 TUH852013 UED852013 UNZ852013 UXV852013 VHR852013 VRN852013 WBJ852013 WLF852013 WVB852013 IP917549 SL917549 ACH917549 AMD917549 AVZ917549 BFV917549 BPR917549 BZN917549 CJJ917549 CTF917549 DDB917549 DMX917549 DWT917549 EGP917549 EQL917549 FAH917549 FKD917549 FTZ917549 GDV917549 GNR917549 GXN917549 HHJ917549 HRF917549 IBB917549 IKX917549 IUT917549 JEP917549 JOL917549 JYH917549 KID917549 KRZ917549 LBV917549 LLR917549 LVN917549 MFJ917549 MPF917549 MZB917549 NIX917549 NST917549 OCP917549 OML917549 OWH917549 PGD917549 PPZ917549 PZV917549 QJR917549 QTN917549 RDJ917549 RNF917549 RXB917549 SGX917549 SQT917549 TAP917549 TKL917549 TUH917549 UED917549 UNZ917549 UXV917549 VHR917549 VRN917549 WBJ917549 WLF917549 WVB917549 IP983085 SL983085 ACH983085 AMD983085 AVZ983085 BFV983085 BPR983085 BZN983085 CJJ983085 CTF983085 DDB983085 DMX983085 DWT983085 EGP983085 EQL983085 FAH983085 FKD983085 FTZ983085 GDV983085 GNR983085 GXN983085 HHJ983085 HRF983085 IBB983085 IKX983085 IUT983085 JEP983085 JOL983085 JYH983085 KID983085 KRZ983085 LBV983085 LLR983085 LVN983085 MFJ983085 MPF983085 MZB983085 NIX983085 NST983085 OCP983085 OML983085 OWH983085 PGD983085 PPZ983085 PZV983085 QJR983085 QTN983085 RDJ983085 RNF983085 RXB983085 SGX983085 SQT983085 TAP983085 TKL983085 TUH983085 UED983085 UNZ983085 UXV983085 VHR983085 VRN983085 WBJ983085 WLF983085 WVB983085 IP23 SL23 ACH23 AMD23 AVZ23 BFV23 BPR23 BZN23 CJJ23 CTF23 DDB23 DMX23 DWT23 EGP23 EQL23 FAH23 FKD23 FTZ23 GDV23 GNR23 GXN23 HHJ23 HRF23 IBB23 IKX23 IUT23 JEP23 JOL23 JYH23 KID23 KRZ23 LBV23 LLR23 LVN23 MFJ23 MPF23 MZB23 NIX23 NST23 OCP23 OML23 OWH23 PGD23 PPZ23 PZV23 QJR23 QTN23 RDJ23 RNF23 RXB23 SGX23 SQT23 TAP23 TKL23 TUH23 UED23 UNZ23 UXV23 VHR23 VRN23 WBJ23 WLF23 WVB23 IP65584 SL65584 ACH65584 AMD65584 AVZ65584 BFV65584 BPR65584 BZN65584 CJJ65584 CTF65584 DDB65584 DMX65584 DWT65584 EGP65584 EQL65584 FAH65584 FKD65584 FTZ65584 GDV65584 GNR65584 GXN65584 HHJ65584 HRF65584 IBB65584 IKX65584 IUT65584 JEP65584 JOL65584 JYH65584 KID65584 KRZ65584 LBV65584 LLR65584 LVN65584 MFJ65584 MPF65584 MZB65584 NIX65584 NST65584 OCP65584 OML65584 OWH65584 PGD65584 PPZ65584 PZV65584 QJR65584 QTN65584 RDJ65584 RNF65584 RXB65584 SGX65584 SQT65584 TAP65584 TKL65584 TUH65584 UED65584 UNZ65584 UXV65584 VHR65584 VRN65584 WBJ65584 WLF65584 WVB65584 IP131120 SL131120 ACH131120 AMD131120 AVZ131120 BFV131120 BPR131120 BZN131120 CJJ131120 CTF131120 DDB131120 DMX131120 DWT131120 EGP131120 EQL131120 FAH131120 FKD131120 FTZ131120 GDV131120 GNR131120 GXN131120 HHJ131120 HRF131120 IBB131120 IKX131120 IUT131120 JEP131120 JOL131120 JYH131120 KID131120 KRZ131120 LBV131120 LLR131120 LVN131120 MFJ131120 MPF131120 MZB131120 NIX131120 NST131120 OCP131120 OML131120 OWH131120 PGD131120 PPZ131120 PZV131120 QJR131120 QTN131120 RDJ131120 RNF131120 RXB131120 SGX131120 SQT131120 TAP131120 TKL131120 TUH131120 UED131120 UNZ131120 UXV131120 VHR131120 VRN131120 WBJ131120 WLF131120 WVB131120 IP196656 SL196656 ACH196656 AMD196656 AVZ196656 BFV196656 BPR196656 BZN196656 CJJ196656 CTF196656 DDB196656 DMX196656 DWT196656 EGP196656 EQL196656 FAH196656 FKD196656 FTZ196656 GDV196656 GNR196656 GXN196656 HHJ196656 HRF196656 IBB196656 IKX196656 IUT196656 JEP196656 JOL196656 JYH196656 KID196656 KRZ196656 LBV196656 LLR196656 LVN196656 MFJ196656 MPF196656 MZB196656 NIX196656 NST196656 OCP196656 OML196656 OWH196656 PGD196656 PPZ196656 PZV196656 QJR196656 QTN196656 RDJ196656 RNF196656 RXB196656 SGX196656 SQT196656 TAP196656 TKL196656 TUH196656 UED196656 UNZ196656 UXV196656 VHR196656 VRN196656 WBJ196656 WLF196656 WVB196656 IP262192 SL262192 ACH262192 AMD262192 AVZ262192 BFV262192 BPR262192 BZN262192 CJJ262192 CTF262192 DDB262192 DMX262192 DWT262192 EGP262192 EQL262192 FAH262192 FKD262192 FTZ262192 GDV262192 GNR262192 GXN262192 HHJ262192 HRF262192 IBB262192 IKX262192 IUT262192 JEP262192 JOL262192 JYH262192 KID262192 KRZ262192 LBV262192 LLR262192 LVN262192 MFJ262192 MPF262192 MZB262192 NIX262192 NST262192 OCP262192 OML262192 OWH262192 PGD262192 PPZ262192 PZV262192 QJR262192 QTN262192 RDJ262192 RNF262192 RXB262192 SGX262192 SQT262192 TAP262192 TKL262192 TUH262192 UED262192 UNZ262192 UXV262192 VHR262192 VRN262192 WBJ262192 WLF262192 WVB262192 IP327728 SL327728 ACH327728 AMD327728 AVZ327728 BFV327728 BPR327728 BZN327728 CJJ327728 CTF327728 DDB327728 DMX327728 DWT327728 EGP327728 EQL327728 FAH327728 FKD327728 FTZ327728 GDV327728 GNR327728 GXN327728 HHJ327728 HRF327728 IBB327728 IKX327728 IUT327728 JEP327728 JOL327728 JYH327728 KID327728 KRZ327728 LBV327728 LLR327728 LVN327728 MFJ327728 MPF327728 MZB327728 NIX327728 NST327728 OCP327728 OML327728 OWH327728 PGD327728 PPZ327728 PZV327728 QJR327728 QTN327728 RDJ327728 RNF327728 RXB327728 SGX327728 SQT327728 TAP327728 TKL327728 TUH327728 UED327728 UNZ327728 UXV327728 VHR327728 VRN327728 WBJ327728 WLF327728 WVB327728 IP393264 SL393264 ACH393264 AMD393264 AVZ393264 BFV393264 BPR393264 BZN393264 CJJ393264 CTF393264 DDB393264 DMX393264 DWT393264 EGP393264 EQL393264 FAH393264 FKD393264 FTZ393264 GDV393264 GNR393264 GXN393264 HHJ393264 HRF393264 IBB393264 IKX393264 IUT393264 JEP393264 JOL393264 JYH393264 KID393264 KRZ393264 LBV393264 LLR393264 LVN393264 MFJ393264 MPF393264 MZB393264 NIX393264 NST393264 OCP393264 OML393264 OWH393264 PGD393264 PPZ393264 PZV393264 QJR393264 QTN393264 RDJ393264 RNF393264 RXB393264 SGX393264 SQT393264 TAP393264 TKL393264 TUH393264 UED393264 UNZ393264 UXV393264 VHR393264 VRN393264 WBJ393264 WLF393264 WVB393264 IP458800 SL458800 ACH458800 AMD458800 AVZ458800 BFV458800 BPR458800 BZN458800 CJJ458800 CTF458800 DDB458800 DMX458800 DWT458800 EGP458800 EQL458800 FAH458800 FKD458800 FTZ458800 GDV458800 GNR458800 GXN458800 HHJ458800 HRF458800 IBB458800 IKX458800 IUT458800 JEP458800 JOL458800 JYH458800 KID458800 KRZ458800 LBV458800 LLR458800 LVN458800 MFJ458800 MPF458800 MZB458800 NIX458800 NST458800 OCP458800 OML458800 OWH458800 PGD458800 PPZ458800 PZV458800 QJR458800 QTN458800 RDJ458800 RNF458800 RXB458800 SGX458800 SQT458800 TAP458800 TKL458800 TUH458800 UED458800 UNZ458800 UXV458800 VHR458800 VRN458800 WBJ458800 WLF458800 WVB458800 IP524336 SL524336 ACH524336 AMD524336 AVZ524336 BFV524336 BPR524336 BZN524336 CJJ524336 CTF524336 DDB524336 DMX524336 DWT524336 EGP524336 EQL524336 FAH524336 FKD524336 FTZ524336 GDV524336 GNR524336 GXN524336 HHJ524336 HRF524336 IBB524336 IKX524336 IUT524336 JEP524336 JOL524336 JYH524336 KID524336 KRZ524336 LBV524336 LLR524336 LVN524336 MFJ524336 MPF524336 MZB524336 NIX524336 NST524336 OCP524336 OML524336 OWH524336 PGD524336 PPZ524336 PZV524336 QJR524336 QTN524336 RDJ524336 RNF524336 RXB524336 SGX524336 SQT524336 TAP524336 TKL524336 TUH524336 UED524336 UNZ524336 UXV524336 VHR524336 VRN524336 WBJ524336 WLF524336 WVB524336 IP589872 SL589872 ACH589872 AMD589872 AVZ589872 BFV589872 BPR589872 BZN589872 CJJ589872 CTF589872 DDB589872 DMX589872 DWT589872 EGP589872 EQL589872 FAH589872 FKD589872 FTZ589872 GDV589872 GNR589872 GXN589872 HHJ589872 HRF589872 IBB589872 IKX589872 IUT589872 JEP589872 JOL589872 JYH589872 KID589872 KRZ589872 LBV589872 LLR589872 LVN589872 MFJ589872 MPF589872 MZB589872 NIX589872 NST589872 OCP589872 OML589872 OWH589872 PGD589872 PPZ589872 PZV589872 QJR589872 QTN589872 RDJ589872 RNF589872 RXB589872 SGX589872 SQT589872 TAP589872 TKL589872 TUH589872 UED589872 UNZ589872 UXV589872 VHR589872 VRN589872 WBJ589872 WLF589872 WVB589872 IP655408 SL655408 ACH655408 AMD655408 AVZ655408 BFV655408 BPR655408 BZN655408 CJJ655408 CTF655408 DDB655408 DMX655408 DWT655408 EGP655408 EQL655408 FAH655408 FKD655408 FTZ655408 GDV655408 GNR655408 GXN655408 HHJ655408 HRF655408 IBB655408 IKX655408 IUT655408 JEP655408 JOL655408 JYH655408 KID655408 KRZ655408 LBV655408 LLR655408 LVN655408 MFJ655408 MPF655408 MZB655408 NIX655408 NST655408 OCP655408 OML655408 OWH655408 PGD655408 PPZ655408 PZV655408 QJR655408 QTN655408 RDJ655408 RNF655408 RXB655408 SGX655408 SQT655408 TAP655408 TKL655408 TUH655408 UED655408 UNZ655408 UXV655408 VHR655408 VRN655408 WBJ655408 WLF655408 WVB655408 IP720944 SL720944 ACH720944 AMD720944 AVZ720944 BFV720944 BPR720944 BZN720944 CJJ720944 CTF720944 DDB720944 DMX720944 DWT720944 EGP720944 EQL720944 FAH720944 FKD720944 FTZ720944 GDV720944 GNR720944 GXN720944 HHJ720944 HRF720944 IBB720944 IKX720944 IUT720944 JEP720944 JOL720944 JYH720944 KID720944 KRZ720944 LBV720944 LLR720944 LVN720944 MFJ720944 MPF720944 MZB720944 NIX720944 NST720944 OCP720944 OML720944 OWH720944 PGD720944 PPZ720944 PZV720944 QJR720944 QTN720944 RDJ720944 RNF720944 RXB720944 SGX720944 SQT720944 TAP720944 TKL720944 TUH720944 UED720944 UNZ720944 UXV720944 VHR720944 VRN720944 WBJ720944 WLF720944 WVB720944 IP786480 SL786480 ACH786480 AMD786480 AVZ786480 BFV786480 BPR786480 BZN786480 CJJ786480 CTF786480 DDB786480 DMX786480 DWT786480 EGP786480 EQL786480 FAH786480 FKD786480 FTZ786480 GDV786480 GNR786480 GXN786480 HHJ786480 HRF786480 IBB786480 IKX786480 IUT786480 JEP786480 JOL786480 JYH786480 KID786480 KRZ786480 LBV786480 LLR786480 LVN786480 MFJ786480 MPF786480 MZB786480 NIX786480 NST786480 OCP786480 OML786480 OWH786480 PGD786480 PPZ786480 PZV786480 QJR786480 QTN786480 RDJ786480 RNF786480 RXB786480 SGX786480 SQT786480 TAP786480 TKL786480 TUH786480 UED786480 UNZ786480 UXV786480 VHR786480 VRN786480 WBJ786480 WLF786480 WVB786480 IP852016 SL852016 ACH852016 AMD852016 AVZ852016 BFV852016 BPR852016 BZN852016 CJJ852016 CTF852016 DDB852016 DMX852016 DWT852016 EGP852016 EQL852016 FAH852016 FKD852016 FTZ852016 GDV852016 GNR852016 GXN852016 HHJ852016 HRF852016 IBB852016 IKX852016 IUT852016 JEP852016 JOL852016 JYH852016 KID852016 KRZ852016 LBV852016 LLR852016 LVN852016 MFJ852016 MPF852016 MZB852016 NIX852016 NST852016 OCP852016 OML852016 OWH852016 PGD852016 PPZ852016 PZV852016 QJR852016 QTN852016 RDJ852016 RNF852016 RXB852016 SGX852016 SQT852016 TAP852016 TKL852016 TUH852016 UED852016 UNZ852016 UXV852016 VHR852016 VRN852016 WBJ852016 WLF852016 WVB852016 IP917552 SL917552 ACH917552 AMD917552 AVZ917552 BFV917552 BPR917552 BZN917552 CJJ917552 CTF917552 DDB917552 DMX917552 DWT917552 EGP917552 EQL917552 FAH917552 FKD917552 FTZ917552 GDV917552 GNR917552 GXN917552 HHJ917552 HRF917552 IBB917552 IKX917552 IUT917552 JEP917552 JOL917552 JYH917552 KID917552 KRZ917552 LBV917552 LLR917552 LVN917552 MFJ917552 MPF917552 MZB917552 NIX917552 NST917552 OCP917552 OML917552 OWH917552 PGD917552 PPZ917552 PZV917552 QJR917552 QTN917552 RDJ917552 RNF917552 RXB917552 SGX917552 SQT917552 TAP917552 TKL917552 TUH917552 UED917552 UNZ917552 UXV917552 VHR917552 VRN917552 WBJ917552 WLF917552 WVB917552 IP983088 SL983088 ACH983088 AMD983088 AVZ983088 BFV983088 BPR983088 BZN983088 CJJ983088 CTF983088 DDB983088 DMX983088 DWT983088 EGP983088 EQL983088 FAH983088 FKD983088 FTZ983088 GDV983088 GNR983088 GXN983088 HHJ983088 HRF983088 IBB983088 IKX983088 IUT983088 JEP983088 JOL983088 JYH983088 KID983088 KRZ983088 LBV983088 LLR983088 LVN983088 MFJ983088 MPF983088 MZB983088 NIX983088 NST983088 OCP983088 OML983088 OWH983088 PGD983088 PPZ983088 PZV983088 QJR983088 QTN983088 RDJ983088 RNF983088 RXB983088 SGX983088 SQT983088 TAP983088 TKL983088 TUH983088 UED983088 UNZ983088 UXV983088 VHR983088 VRN983088 WBJ983088 WLF983088 WVB983088 IP37 SL37 ACH37 AMD37 AVZ37 BFV37 BPR37 BZN37 CJJ37 CTF37 DDB37 DMX37 DWT37 EGP37 EQL37 FAH37 FKD37 FTZ37 GDV37 GNR37 GXN37 HHJ37 HRF37 IBB37 IKX37 IUT37 JEP37 JOL37 JYH37 KID37 KRZ37 LBV37 LLR37 LVN37 MFJ37 MPF37 MZB37 NIX37 NST37 OCP37 OML37 OWH37 PGD37 PPZ37 PZV37 QJR37 QTN37 RDJ37 RNF37 RXB37 SGX37 SQT37 TAP37 TKL37 TUH37 UED37 UNZ37 UXV37 VHR37 VRN37 WBJ37 WLF37 WVB37 IP40 SL40 ACH40 AMD40 AVZ40 BFV40 BPR40 BZN40 CJJ40 CTF40 DDB40 DMX40 DWT40 EGP40 EQL40 FAH40 FKD40 FTZ40 GDV40 GNR40 GXN40 HHJ40 HRF40 IBB40 IKX40 IUT40 JEP40 JOL40 JYH40 KID40 KRZ40 LBV40 LLR40 LVN40 MFJ40 MPF40 MZB40 NIX40 NST40 OCP40 OML40 OWH40 PGD40 PPZ40 PZV40 QJR40 QTN40 RDJ40 RNF40 RXB40 SGX40 SQT40 TAP40 TKL40 TUH40 UED40 UNZ40 UXV40 VHR40 VRN40 WBJ40 WLF40 WVB40 IP55 SL55 ACH55 AMD55 AVZ55 BFV55 BPR55 BZN55 CJJ55 CTF55 DDB55 DMX55 DWT55 EGP55 EQL55 FAH55 FKD55 FTZ55 GDV55 GNR55 GXN55 HHJ55 HRF55 IBB55 IKX55 IUT55 JEP55 JOL55 JYH55 KID55 KRZ55 LBV55 LLR55 LVN55 MFJ55 MPF55 MZB55 NIX55 NST55 OCP55 OML55 OWH55 PGD55 PPZ55 PZV55 QJR55 QTN55 RDJ55 RNF55 RXB55 SGX55 SQT55 TAP55 TKL55 TUH55 UED55 UNZ55 UXV55 VHR55 VRN55 WBJ55 WLF55 WVB55 IP58 SL58 ACH58 AMD58 AVZ58 BFV58 BPR58 BZN58 CJJ58 CTF58 DDB58 DMX58 DWT58 EGP58 EQL58 FAH58 FKD58 FTZ58 GDV58 GNR58 GXN58 HHJ58 HRF58 IBB58 IKX58 IUT58 JEP58 JOL58 JYH58 KID58 KRZ58 LBV58 LLR58 LVN58 MFJ58 MPF58 MZB58 NIX58 NST58 OCP58 OML58 OWH58 PGD58 PPZ58 PZV58 QJR58 QTN58 RDJ58 RNF58 RXB58 SGX58 SQT58 TAP58 TKL58 TUH58 UED58 UNZ58 UXV58 VHR58 VRN58 WBJ58 WLF58 WVB58" xr:uid="{00000000-0002-0000-2B00-000001000000}"/>
  </dataValidations>
  <printOptions horizontalCentered="1"/>
  <pageMargins left="0.70866141732283472" right="0.70866141732283472" top="0.74803149606299213" bottom="0.74803149606299213" header="0.31496062992125984" footer="0.31496062992125984"/>
  <pageSetup paperSize="5" scale="86" fitToHeight="3" orientation="landscape" r:id="rId1"/>
  <rowBreaks count="1" manualBreakCount="1">
    <brk id="27" max="16383" man="1"/>
  </rowBreak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FFFF"/>
  </sheetPr>
  <dimension ref="A1:H19"/>
  <sheetViews>
    <sheetView view="pageBreakPreview" zoomScale="115" zoomScaleNormal="76" zoomScaleSheetLayoutView="115" workbookViewId="0">
      <selection activeCell="F14" sqref="F14"/>
    </sheetView>
  </sheetViews>
  <sheetFormatPr defaultRowHeight="14.25"/>
  <cols>
    <col min="1" max="1" width="3.19921875" style="19" bestFit="1" customWidth="1"/>
    <col min="2" max="2" width="7.46484375" style="19" customWidth="1"/>
    <col min="3" max="3" width="32.53125" style="65" customWidth="1"/>
    <col min="4" max="4" width="11.796875" style="65" bestFit="1" customWidth="1"/>
    <col min="5" max="8" width="13.19921875" style="19" customWidth="1"/>
    <col min="9" max="244" width="9.19921875" style="19"/>
    <col min="245" max="245" width="2.53125" style="19" bestFit="1" customWidth="1"/>
    <col min="246" max="246" width="2.19921875" style="19" bestFit="1" customWidth="1"/>
    <col min="247" max="247" width="66.796875" style="19" bestFit="1" customWidth="1"/>
    <col min="248" max="248" width="11.19921875" style="19" bestFit="1" customWidth="1"/>
    <col min="249" max="249" width="9" style="19" bestFit="1" customWidth="1"/>
    <col min="250" max="500" width="9.19921875" style="19"/>
    <col min="501" max="501" width="2.53125" style="19" bestFit="1" customWidth="1"/>
    <col min="502" max="502" width="2.19921875" style="19" bestFit="1" customWidth="1"/>
    <col min="503" max="503" width="66.796875" style="19" bestFit="1" customWidth="1"/>
    <col min="504" max="504" width="11.19921875" style="19" bestFit="1" customWidth="1"/>
    <col min="505" max="505" width="9" style="19" bestFit="1" customWidth="1"/>
    <col min="506" max="756" width="9.19921875" style="19"/>
    <col min="757" max="757" width="2.53125" style="19" bestFit="1" customWidth="1"/>
    <col min="758" max="758" width="2.19921875" style="19" bestFit="1" customWidth="1"/>
    <col min="759" max="759" width="66.796875" style="19" bestFit="1" customWidth="1"/>
    <col min="760" max="760" width="11.19921875" style="19" bestFit="1" customWidth="1"/>
    <col min="761" max="761" width="9" style="19" bestFit="1" customWidth="1"/>
    <col min="762" max="1012" width="9.19921875" style="19"/>
    <col min="1013" max="1013" width="2.53125" style="19" bestFit="1" customWidth="1"/>
    <col min="1014" max="1014" width="2.19921875" style="19" bestFit="1" customWidth="1"/>
    <col min="1015" max="1015" width="66.796875" style="19" bestFit="1" customWidth="1"/>
    <col min="1016" max="1016" width="11.19921875" style="19" bestFit="1" customWidth="1"/>
    <col min="1017" max="1017" width="9" style="19" bestFit="1" customWidth="1"/>
    <col min="1018" max="1268" width="9.19921875" style="19"/>
    <col min="1269" max="1269" width="2.53125" style="19" bestFit="1" customWidth="1"/>
    <col min="1270" max="1270" width="2.19921875" style="19" bestFit="1" customWidth="1"/>
    <col min="1271" max="1271" width="66.796875" style="19" bestFit="1" customWidth="1"/>
    <col min="1272" max="1272" width="11.19921875" style="19" bestFit="1" customWidth="1"/>
    <col min="1273" max="1273" width="9" style="19" bestFit="1" customWidth="1"/>
    <col min="1274" max="1524" width="9.19921875" style="19"/>
    <col min="1525" max="1525" width="2.53125" style="19" bestFit="1" customWidth="1"/>
    <col min="1526" max="1526" width="2.19921875" style="19" bestFit="1" customWidth="1"/>
    <col min="1527" max="1527" width="66.796875" style="19" bestFit="1" customWidth="1"/>
    <col min="1528" max="1528" width="11.19921875" style="19" bestFit="1" customWidth="1"/>
    <col min="1529" max="1529" width="9" style="19" bestFit="1" customWidth="1"/>
    <col min="1530" max="1780" width="9.19921875" style="19"/>
    <col min="1781" max="1781" width="2.53125" style="19" bestFit="1" customWidth="1"/>
    <col min="1782" max="1782" width="2.19921875" style="19" bestFit="1" customWidth="1"/>
    <col min="1783" max="1783" width="66.796875" style="19" bestFit="1" customWidth="1"/>
    <col min="1784" max="1784" width="11.19921875" style="19" bestFit="1" customWidth="1"/>
    <col min="1785" max="1785" width="9" style="19" bestFit="1" customWidth="1"/>
    <col min="1786" max="2036" width="9.19921875" style="19"/>
    <col min="2037" max="2037" width="2.53125" style="19" bestFit="1" customWidth="1"/>
    <col min="2038" max="2038" width="2.19921875" style="19" bestFit="1" customWidth="1"/>
    <col min="2039" max="2039" width="66.796875" style="19" bestFit="1" customWidth="1"/>
    <col min="2040" max="2040" width="11.19921875" style="19" bestFit="1" customWidth="1"/>
    <col min="2041" max="2041" width="9" style="19" bestFit="1" customWidth="1"/>
    <col min="2042" max="2292" width="9.19921875" style="19"/>
    <col min="2293" max="2293" width="2.53125" style="19" bestFit="1" customWidth="1"/>
    <col min="2294" max="2294" width="2.19921875" style="19" bestFit="1" customWidth="1"/>
    <col min="2295" max="2295" width="66.796875" style="19" bestFit="1" customWidth="1"/>
    <col min="2296" max="2296" width="11.19921875" style="19" bestFit="1" customWidth="1"/>
    <col min="2297" max="2297" width="9" style="19" bestFit="1" customWidth="1"/>
    <col min="2298" max="2548" width="9.19921875" style="19"/>
    <col min="2549" max="2549" width="2.53125" style="19" bestFit="1" customWidth="1"/>
    <col min="2550" max="2550" width="2.19921875" style="19" bestFit="1" customWidth="1"/>
    <col min="2551" max="2551" width="66.796875" style="19" bestFit="1" customWidth="1"/>
    <col min="2552" max="2552" width="11.19921875" style="19" bestFit="1" customWidth="1"/>
    <col min="2553" max="2553" width="9" style="19" bestFit="1" customWidth="1"/>
    <col min="2554" max="2804" width="9.19921875" style="19"/>
    <col min="2805" max="2805" width="2.53125" style="19" bestFit="1" customWidth="1"/>
    <col min="2806" max="2806" width="2.19921875" style="19" bestFit="1" customWidth="1"/>
    <col min="2807" max="2807" width="66.796875" style="19" bestFit="1" customWidth="1"/>
    <col min="2808" max="2808" width="11.19921875" style="19" bestFit="1" customWidth="1"/>
    <col min="2809" max="2809" width="9" style="19" bestFit="1" customWidth="1"/>
    <col min="2810" max="3060" width="9.19921875" style="19"/>
    <col min="3061" max="3061" width="2.53125" style="19" bestFit="1" customWidth="1"/>
    <col min="3062" max="3062" width="2.19921875" style="19" bestFit="1" customWidth="1"/>
    <col min="3063" max="3063" width="66.796875" style="19" bestFit="1" customWidth="1"/>
    <col min="3064" max="3064" width="11.19921875" style="19" bestFit="1" customWidth="1"/>
    <col min="3065" max="3065" width="9" style="19" bestFit="1" customWidth="1"/>
    <col min="3066" max="3316" width="9.19921875" style="19"/>
    <col min="3317" max="3317" width="2.53125" style="19" bestFit="1" customWidth="1"/>
    <col min="3318" max="3318" width="2.19921875" style="19" bestFit="1" customWidth="1"/>
    <col min="3319" max="3319" width="66.796875" style="19" bestFit="1" customWidth="1"/>
    <col min="3320" max="3320" width="11.19921875" style="19" bestFit="1" customWidth="1"/>
    <col min="3321" max="3321" width="9" style="19" bestFit="1" customWidth="1"/>
    <col min="3322" max="3572" width="9.19921875" style="19"/>
    <col min="3573" max="3573" width="2.53125" style="19" bestFit="1" customWidth="1"/>
    <col min="3574" max="3574" width="2.19921875" style="19" bestFit="1" customWidth="1"/>
    <col min="3575" max="3575" width="66.796875" style="19" bestFit="1" customWidth="1"/>
    <col min="3576" max="3576" width="11.19921875" style="19" bestFit="1" customWidth="1"/>
    <col min="3577" max="3577" width="9" style="19" bestFit="1" customWidth="1"/>
    <col min="3578" max="3828" width="9.19921875" style="19"/>
    <col min="3829" max="3829" width="2.53125" style="19" bestFit="1" customWidth="1"/>
    <col min="3830" max="3830" width="2.19921875" style="19" bestFit="1" customWidth="1"/>
    <col min="3831" max="3831" width="66.796875" style="19" bestFit="1" customWidth="1"/>
    <col min="3832" max="3832" width="11.19921875" style="19" bestFit="1" customWidth="1"/>
    <col min="3833" max="3833" width="9" style="19" bestFit="1" customWidth="1"/>
    <col min="3834" max="4084" width="9.19921875" style="19"/>
    <col min="4085" max="4085" width="2.53125" style="19" bestFit="1" customWidth="1"/>
    <col min="4086" max="4086" width="2.19921875" style="19" bestFit="1" customWidth="1"/>
    <col min="4087" max="4087" width="66.796875" style="19" bestFit="1" customWidth="1"/>
    <col min="4088" max="4088" width="11.19921875" style="19" bestFit="1" customWidth="1"/>
    <col min="4089" max="4089" width="9" style="19" bestFit="1" customWidth="1"/>
    <col min="4090" max="4340" width="9.19921875" style="19"/>
    <col min="4341" max="4341" width="2.53125" style="19" bestFit="1" customWidth="1"/>
    <col min="4342" max="4342" width="2.19921875" style="19" bestFit="1" customWidth="1"/>
    <col min="4343" max="4343" width="66.796875" style="19" bestFit="1" customWidth="1"/>
    <col min="4344" max="4344" width="11.19921875" style="19" bestFit="1" customWidth="1"/>
    <col min="4345" max="4345" width="9" style="19" bestFit="1" customWidth="1"/>
    <col min="4346" max="4596" width="9.19921875" style="19"/>
    <col min="4597" max="4597" width="2.53125" style="19" bestFit="1" customWidth="1"/>
    <col min="4598" max="4598" width="2.19921875" style="19" bestFit="1" customWidth="1"/>
    <col min="4599" max="4599" width="66.796875" style="19" bestFit="1" customWidth="1"/>
    <col min="4600" max="4600" width="11.19921875" style="19" bestFit="1" customWidth="1"/>
    <col min="4601" max="4601" width="9" style="19" bestFit="1" customWidth="1"/>
    <col min="4602" max="4852" width="9.19921875" style="19"/>
    <col min="4853" max="4853" width="2.53125" style="19" bestFit="1" customWidth="1"/>
    <col min="4854" max="4854" width="2.19921875" style="19" bestFit="1" customWidth="1"/>
    <col min="4855" max="4855" width="66.796875" style="19" bestFit="1" customWidth="1"/>
    <col min="4856" max="4856" width="11.19921875" style="19" bestFit="1" customWidth="1"/>
    <col min="4857" max="4857" width="9" style="19" bestFit="1" customWidth="1"/>
    <col min="4858" max="5108" width="9.19921875" style="19"/>
    <col min="5109" max="5109" width="2.53125" style="19" bestFit="1" customWidth="1"/>
    <col min="5110" max="5110" width="2.19921875" style="19" bestFit="1" customWidth="1"/>
    <col min="5111" max="5111" width="66.796875" style="19" bestFit="1" customWidth="1"/>
    <col min="5112" max="5112" width="11.19921875" style="19" bestFit="1" customWidth="1"/>
    <col min="5113" max="5113" width="9" style="19" bestFit="1" customWidth="1"/>
    <col min="5114" max="5364" width="9.19921875" style="19"/>
    <col min="5365" max="5365" width="2.53125" style="19" bestFit="1" customWidth="1"/>
    <col min="5366" max="5366" width="2.19921875" style="19" bestFit="1" customWidth="1"/>
    <col min="5367" max="5367" width="66.796875" style="19" bestFit="1" customWidth="1"/>
    <col min="5368" max="5368" width="11.19921875" style="19" bestFit="1" customWidth="1"/>
    <col min="5369" max="5369" width="9" style="19" bestFit="1" customWidth="1"/>
    <col min="5370" max="5620" width="9.19921875" style="19"/>
    <col min="5621" max="5621" width="2.53125" style="19" bestFit="1" customWidth="1"/>
    <col min="5622" max="5622" width="2.19921875" style="19" bestFit="1" customWidth="1"/>
    <col min="5623" max="5623" width="66.796875" style="19" bestFit="1" customWidth="1"/>
    <col min="5624" max="5624" width="11.19921875" style="19" bestFit="1" customWidth="1"/>
    <col min="5625" max="5625" width="9" style="19" bestFit="1" customWidth="1"/>
    <col min="5626" max="5876" width="9.19921875" style="19"/>
    <col min="5877" max="5877" width="2.53125" style="19" bestFit="1" customWidth="1"/>
    <col min="5878" max="5878" width="2.19921875" style="19" bestFit="1" customWidth="1"/>
    <col min="5879" max="5879" width="66.796875" style="19" bestFit="1" customWidth="1"/>
    <col min="5880" max="5880" width="11.19921875" style="19" bestFit="1" customWidth="1"/>
    <col min="5881" max="5881" width="9" style="19" bestFit="1" customWidth="1"/>
    <col min="5882" max="6132" width="9.19921875" style="19"/>
    <col min="6133" max="6133" width="2.53125" style="19" bestFit="1" customWidth="1"/>
    <col min="6134" max="6134" width="2.19921875" style="19" bestFit="1" customWidth="1"/>
    <col min="6135" max="6135" width="66.796875" style="19" bestFit="1" customWidth="1"/>
    <col min="6136" max="6136" width="11.19921875" style="19" bestFit="1" customWidth="1"/>
    <col min="6137" max="6137" width="9" style="19" bestFit="1" customWidth="1"/>
    <col min="6138" max="6388" width="9.19921875" style="19"/>
    <col min="6389" max="6389" width="2.53125" style="19" bestFit="1" customWidth="1"/>
    <col min="6390" max="6390" width="2.19921875" style="19" bestFit="1" customWidth="1"/>
    <col min="6391" max="6391" width="66.796875" style="19" bestFit="1" customWidth="1"/>
    <col min="6392" max="6392" width="11.19921875" style="19" bestFit="1" customWidth="1"/>
    <col min="6393" max="6393" width="9" style="19" bestFit="1" customWidth="1"/>
    <col min="6394" max="6644" width="9.19921875" style="19"/>
    <col min="6645" max="6645" width="2.53125" style="19" bestFit="1" customWidth="1"/>
    <col min="6646" max="6646" width="2.19921875" style="19" bestFit="1" customWidth="1"/>
    <col min="6647" max="6647" width="66.796875" style="19" bestFit="1" customWidth="1"/>
    <col min="6648" max="6648" width="11.19921875" style="19" bestFit="1" customWidth="1"/>
    <col min="6649" max="6649" width="9" style="19" bestFit="1" customWidth="1"/>
    <col min="6650" max="6900" width="9.19921875" style="19"/>
    <col min="6901" max="6901" width="2.53125" style="19" bestFit="1" customWidth="1"/>
    <col min="6902" max="6902" width="2.19921875" style="19" bestFit="1" customWidth="1"/>
    <col min="6903" max="6903" width="66.796875" style="19" bestFit="1" customWidth="1"/>
    <col min="6904" max="6904" width="11.19921875" style="19" bestFit="1" customWidth="1"/>
    <col min="6905" max="6905" width="9" style="19" bestFit="1" customWidth="1"/>
    <col min="6906" max="7156" width="9.19921875" style="19"/>
    <col min="7157" max="7157" width="2.53125" style="19" bestFit="1" customWidth="1"/>
    <col min="7158" max="7158" width="2.19921875" style="19" bestFit="1" customWidth="1"/>
    <col min="7159" max="7159" width="66.796875" style="19" bestFit="1" customWidth="1"/>
    <col min="7160" max="7160" width="11.19921875" style="19" bestFit="1" customWidth="1"/>
    <col min="7161" max="7161" width="9" style="19" bestFit="1" customWidth="1"/>
    <col min="7162" max="7412" width="9.19921875" style="19"/>
    <col min="7413" max="7413" width="2.53125" style="19" bestFit="1" customWidth="1"/>
    <col min="7414" max="7414" width="2.19921875" style="19" bestFit="1" customWidth="1"/>
    <col min="7415" max="7415" width="66.796875" style="19" bestFit="1" customWidth="1"/>
    <col min="7416" max="7416" width="11.19921875" style="19" bestFit="1" customWidth="1"/>
    <col min="7417" max="7417" width="9" style="19" bestFit="1" customWidth="1"/>
    <col min="7418" max="7668" width="9.19921875" style="19"/>
    <col min="7669" max="7669" width="2.53125" style="19" bestFit="1" customWidth="1"/>
    <col min="7670" max="7670" width="2.19921875" style="19" bestFit="1" customWidth="1"/>
    <col min="7671" max="7671" width="66.796875" style="19" bestFit="1" customWidth="1"/>
    <col min="7672" max="7672" width="11.19921875" style="19" bestFit="1" customWidth="1"/>
    <col min="7673" max="7673" width="9" style="19" bestFit="1" customWidth="1"/>
    <col min="7674" max="7924" width="9.19921875" style="19"/>
    <col min="7925" max="7925" width="2.53125" style="19" bestFit="1" customWidth="1"/>
    <col min="7926" max="7926" width="2.19921875" style="19" bestFit="1" customWidth="1"/>
    <col min="7927" max="7927" width="66.796875" style="19" bestFit="1" customWidth="1"/>
    <col min="7928" max="7928" width="11.19921875" style="19" bestFit="1" customWidth="1"/>
    <col min="7929" max="7929" width="9" style="19" bestFit="1" customWidth="1"/>
    <col min="7930" max="8180" width="9.19921875" style="19"/>
    <col min="8181" max="8181" width="2.53125" style="19" bestFit="1" customWidth="1"/>
    <col min="8182" max="8182" width="2.19921875" style="19" bestFit="1" customWidth="1"/>
    <col min="8183" max="8183" width="66.796875" style="19" bestFit="1" customWidth="1"/>
    <col min="8184" max="8184" width="11.19921875" style="19" bestFit="1" customWidth="1"/>
    <col min="8185" max="8185" width="9" style="19" bestFit="1" customWidth="1"/>
    <col min="8186" max="8436" width="9.19921875" style="19"/>
    <col min="8437" max="8437" width="2.53125" style="19" bestFit="1" customWidth="1"/>
    <col min="8438" max="8438" width="2.19921875" style="19" bestFit="1" customWidth="1"/>
    <col min="8439" max="8439" width="66.796875" style="19" bestFit="1" customWidth="1"/>
    <col min="8440" max="8440" width="11.19921875" style="19" bestFit="1" customWidth="1"/>
    <col min="8441" max="8441" width="9" style="19" bestFit="1" customWidth="1"/>
    <col min="8442" max="8692" width="9.19921875" style="19"/>
    <col min="8693" max="8693" width="2.53125" style="19" bestFit="1" customWidth="1"/>
    <col min="8694" max="8694" width="2.19921875" style="19" bestFit="1" customWidth="1"/>
    <col min="8695" max="8695" width="66.796875" style="19" bestFit="1" customWidth="1"/>
    <col min="8696" max="8696" width="11.19921875" style="19" bestFit="1" customWidth="1"/>
    <col min="8697" max="8697" width="9" style="19" bestFit="1" customWidth="1"/>
    <col min="8698" max="8948" width="9.19921875" style="19"/>
    <col min="8949" max="8949" width="2.53125" style="19" bestFit="1" customWidth="1"/>
    <col min="8950" max="8950" width="2.19921875" style="19" bestFit="1" customWidth="1"/>
    <col min="8951" max="8951" width="66.796875" style="19" bestFit="1" customWidth="1"/>
    <col min="8952" max="8952" width="11.19921875" style="19" bestFit="1" customWidth="1"/>
    <col min="8953" max="8953" width="9" style="19" bestFit="1" customWidth="1"/>
    <col min="8954" max="9204" width="9.19921875" style="19"/>
    <col min="9205" max="9205" width="2.53125" style="19" bestFit="1" customWidth="1"/>
    <col min="9206" max="9206" width="2.19921875" style="19" bestFit="1" customWidth="1"/>
    <col min="9207" max="9207" width="66.796875" style="19" bestFit="1" customWidth="1"/>
    <col min="9208" max="9208" width="11.19921875" style="19" bestFit="1" customWidth="1"/>
    <col min="9209" max="9209" width="9" style="19" bestFit="1" customWidth="1"/>
    <col min="9210" max="9460" width="9.19921875" style="19"/>
    <col min="9461" max="9461" width="2.53125" style="19" bestFit="1" customWidth="1"/>
    <col min="9462" max="9462" width="2.19921875" style="19" bestFit="1" customWidth="1"/>
    <col min="9463" max="9463" width="66.796875" style="19" bestFit="1" customWidth="1"/>
    <col min="9464" max="9464" width="11.19921875" style="19" bestFit="1" customWidth="1"/>
    <col min="9465" max="9465" width="9" style="19" bestFit="1" customWidth="1"/>
    <col min="9466" max="9716" width="9.19921875" style="19"/>
    <col min="9717" max="9717" width="2.53125" style="19" bestFit="1" customWidth="1"/>
    <col min="9718" max="9718" width="2.19921875" style="19" bestFit="1" customWidth="1"/>
    <col min="9719" max="9719" width="66.796875" style="19" bestFit="1" customWidth="1"/>
    <col min="9720" max="9720" width="11.19921875" style="19" bestFit="1" customWidth="1"/>
    <col min="9721" max="9721" width="9" style="19" bestFit="1" customWidth="1"/>
    <col min="9722" max="9972" width="9.19921875" style="19"/>
    <col min="9973" max="9973" width="2.53125" style="19" bestFit="1" customWidth="1"/>
    <col min="9974" max="9974" width="2.19921875" style="19" bestFit="1" customWidth="1"/>
    <col min="9975" max="9975" width="66.796875" style="19" bestFit="1" customWidth="1"/>
    <col min="9976" max="9976" width="11.19921875" style="19" bestFit="1" customWidth="1"/>
    <col min="9977" max="9977" width="9" style="19" bestFit="1" customWidth="1"/>
    <col min="9978" max="10228" width="9.19921875" style="19"/>
    <col min="10229" max="10229" width="2.53125" style="19" bestFit="1" customWidth="1"/>
    <col min="10230" max="10230" width="2.19921875" style="19" bestFit="1" customWidth="1"/>
    <col min="10231" max="10231" width="66.796875" style="19" bestFit="1" customWidth="1"/>
    <col min="10232" max="10232" width="11.19921875" style="19" bestFit="1" customWidth="1"/>
    <col min="10233" max="10233" width="9" style="19" bestFit="1" customWidth="1"/>
    <col min="10234" max="10484" width="9.19921875" style="19"/>
    <col min="10485" max="10485" width="2.53125" style="19" bestFit="1" customWidth="1"/>
    <col min="10486" max="10486" width="2.19921875" style="19" bestFit="1" customWidth="1"/>
    <col min="10487" max="10487" width="66.796875" style="19" bestFit="1" customWidth="1"/>
    <col min="10488" max="10488" width="11.19921875" style="19" bestFit="1" customWidth="1"/>
    <col min="10489" max="10489" width="9" style="19" bestFit="1" customWidth="1"/>
    <col min="10490" max="10740" width="9.19921875" style="19"/>
    <col min="10741" max="10741" width="2.53125" style="19" bestFit="1" customWidth="1"/>
    <col min="10742" max="10742" width="2.19921875" style="19" bestFit="1" customWidth="1"/>
    <col min="10743" max="10743" width="66.796875" style="19" bestFit="1" customWidth="1"/>
    <col min="10744" max="10744" width="11.19921875" style="19" bestFit="1" customWidth="1"/>
    <col min="10745" max="10745" width="9" style="19" bestFit="1" customWidth="1"/>
    <col min="10746" max="10996" width="9.19921875" style="19"/>
    <col min="10997" max="10997" width="2.53125" style="19" bestFit="1" customWidth="1"/>
    <col min="10998" max="10998" width="2.19921875" style="19" bestFit="1" customWidth="1"/>
    <col min="10999" max="10999" width="66.796875" style="19" bestFit="1" customWidth="1"/>
    <col min="11000" max="11000" width="11.19921875" style="19" bestFit="1" customWidth="1"/>
    <col min="11001" max="11001" width="9" style="19" bestFit="1" customWidth="1"/>
    <col min="11002" max="11252" width="9.19921875" style="19"/>
    <col min="11253" max="11253" width="2.53125" style="19" bestFit="1" customWidth="1"/>
    <col min="11254" max="11254" width="2.19921875" style="19" bestFit="1" customWidth="1"/>
    <col min="11255" max="11255" width="66.796875" style="19" bestFit="1" customWidth="1"/>
    <col min="11256" max="11256" width="11.19921875" style="19" bestFit="1" customWidth="1"/>
    <col min="11257" max="11257" width="9" style="19" bestFit="1" customWidth="1"/>
    <col min="11258" max="11508" width="9.19921875" style="19"/>
    <col min="11509" max="11509" width="2.53125" style="19" bestFit="1" customWidth="1"/>
    <col min="11510" max="11510" width="2.19921875" style="19" bestFit="1" customWidth="1"/>
    <col min="11511" max="11511" width="66.796875" style="19" bestFit="1" customWidth="1"/>
    <col min="11512" max="11512" width="11.19921875" style="19" bestFit="1" customWidth="1"/>
    <col min="11513" max="11513" width="9" style="19" bestFit="1" customWidth="1"/>
    <col min="11514" max="11764" width="9.19921875" style="19"/>
    <col min="11765" max="11765" width="2.53125" style="19" bestFit="1" customWidth="1"/>
    <col min="11766" max="11766" width="2.19921875" style="19" bestFit="1" customWidth="1"/>
    <col min="11767" max="11767" width="66.796875" style="19" bestFit="1" customWidth="1"/>
    <col min="11768" max="11768" width="11.19921875" style="19" bestFit="1" customWidth="1"/>
    <col min="11769" max="11769" width="9" style="19" bestFit="1" customWidth="1"/>
    <col min="11770" max="12020" width="9.19921875" style="19"/>
    <col min="12021" max="12021" width="2.53125" style="19" bestFit="1" customWidth="1"/>
    <col min="12022" max="12022" width="2.19921875" style="19" bestFit="1" customWidth="1"/>
    <col min="12023" max="12023" width="66.796875" style="19" bestFit="1" customWidth="1"/>
    <col min="12024" max="12024" width="11.19921875" style="19" bestFit="1" customWidth="1"/>
    <col min="12025" max="12025" width="9" style="19" bestFit="1" customWidth="1"/>
    <col min="12026" max="12276" width="9.19921875" style="19"/>
    <col min="12277" max="12277" width="2.53125" style="19" bestFit="1" customWidth="1"/>
    <col min="12278" max="12278" width="2.19921875" style="19" bestFit="1" customWidth="1"/>
    <col min="12279" max="12279" width="66.796875" style="19" bestFit="1" customWidth="1"/>
    <col min="12280" max="12280" width="11.19921875" style="19" bestFit="1" customWidth="1"/>
    <col min="12281" max="12281" width="9" style="19" bestFit="1" customWidth="1"/>
    <col min="12282" max="12532" width="9.19921875" style="19"/>
    <col min="12533" max="12533" width="2.53125" style="19" bestFit="1" customWidth="1"/>
    <col min="12534" max="12534" width="2.19921875" style="19" bestFit="1" customWidth="1"/>
    <col min="12535" max="12535" width="66.796875" style="19" bestFit="1" customWidth="1"/>
    <col min="12536" max="12536" width="11.19921875" style="19" bestFit="1" customWidth="1"/>
    <col min="12537" max="12537" width="9" style="19" bestFit="1" customWidth="1"/>
    <col min="12538" max="12788" width="9.19921875" style="19"/>
    <col min="12789" max="12789" width="2.53125" style="19" bestFit="1" customWidth="1"/>
    <col min="12790" max="12790" width="2.19921875" style="19" bestFit="1" customWidth="1"/>
    <col min="12791" max="12791" width="66.796875" style="19" bestFit="1" customWidth="1"/>
    <col min="12792" max="12792" width="11.19921875" style="19" bestFit="1" customWidth="1"/>
    <col min="12793" max="12793" width="9" style="19" bestFit="1" customWidth="1"/>
    <col min="12794" max="13044" width="9.19921875" style="19"/>
    <col min="13045" max="13045" width="2.53125" style="19" bestFit="1" customWidth="1"/>
    <col min="13046" max="13046" width="2.19921875" style="19" bestFit="1" customWidth="1"/>
    <col min="13047" max="13047" width="66.796875" style="19" bestFit="1" customWidth="1"/>
    <col min="13048" max="13048" width="11.19921875" style="19" bestFit="1" customWidth="1"/>
    <col min="13049" max="13049" width="9" style="19" bestFit="1" customWidth="1"/>
    <col min="13050" max="13300" width="9.19921875" style="19"/>
    <col min="13301" max="13301" width="2.53125" style="19" bestFit="1" customWidth="1"/>
    <col min="13302" max="13302" width="2.19921875" style="19" bestFit="1" customWidth="1"/>
    <col min="13303" max="13303" width="66.796875" style="19" bestFit="1" customWidth="1"/>
    <col min="13304" max="13304" width="11.19921875" style="19" bestFit="1" customWidth="1"/>
    <col min="13305" max="13305" width="9" style="19" bestFit="1" customWidth="1"/>
    <col min="13306" max="13556" width="9.19921875" style="19"/>
    <col min="13557" max="13557" width="2.53125" style="19" bestFit="1" customWidth="1"/>
    <col min="13558" max="13558" width="2.19921875" style="19" bestFit="1" customWidth="1"/>
    <col min="13559" max="13559" width="66.796875" style="19" bestFit="1" customWidth="1"/>
    <col min="13560" max="13560" width="11.19921875" style="19" bestFit="1" customWidth="1"/>
    <col min="13561" max="13561" width="9" style="19" bestFit="1" customWidth="1"/>
    <col min="13562" max="13812" width="9.19921875" style="19"/>
    <col min="13813" max="13813" width="2.53125" style="19" bestFit="1" customWidth="1"/>
    <col min="13814" max="13814" width="2.19921875" style="19" bestFit="1" customWidth="1"/>
    <col min="13815" max="13815" width="66.796875" style="19" bestFit="1" customWidth="1"/>
    <col min="13816" max="13816" width="11.19921875" style="19" bestFit="1" customWidth="1"/>
    <col min="13817" max="13817" width="9" style="19" bestFit="1" customWidth="1"/>
    <col min="13818" max="14068" width="9.19921875" style="19"/>
    <col min="14069" max="14069" width="2.53125" style="19" bestFit="1" customWidth="1"/>
    <col min="14070" max="14070" width="2.19921875" style="19" bestFit="1" customWidth="1"/>
    <col min="14071" max="14071" width="66.796875" style="19" bestFit="1" customWidth="1"/>
    <col min="14072" max="14072" width="11.19921875" style="19" bestFit="1" customWidth="1"/>
    <col min="14073" max="14073" width="9" style="19" bestFit="1" customWidth="1"/>
    <col min="14074" max="14324" width="9.19921875" style="19"/>
    <col min="14325" max="14325" width="2.53125" style="19" bestFit="1" customWidth="1"/>
    <col min="14326" max="14326" width="2.19921875" style="19" bestFit="1" customWidth="1"/>
    <col min="14327" max="14327" width="66.796875" style="19" bestFit="1" customWidth="1"/>
    <col min="14328" max="14328" width="11.19921875" style="19" bestFit="1" customWidth="1"/>
    <col min="14329" max="14329" width="9" style="19" bestFit="1" customWidth="1"/>
    <col min="14330" max="14580" width="9.19921875" style="19"/>
    <col min="14581" max="14581" width="2.53125" style="19" bestFit="1" customWidth="1"/>
    <col min="14582" max="14582" width="2.19921875" style="19" bestFit="1" customWidth="1"/>
    <col min="14583" max="14583" width="66.796875" style="19" bestFit="1" customWidth="1"/>
    <col min="14584" max="14584" width="11.19921875" style="19" bestFit="1" customWidth="1"/>
    <col min="14585" max="14585" width="9" style="19" bestFit="1" customWidth="1"/>
    <col min="14586" max="14836" width="9.19921875" style="19"/>
    <col min="14837" max="14837" width="2.53125" style="19" bestFit="1" customWidth="1"/>
    <col min="14838" max="14838" width="2.19921875" style="19" bestFit="1" customWidth="1"/>
    <col min="14839" max="14839" width="66.796875" style="19" bestFit="1" customWidth="1"/>
    <col min="14840" max="14840" width="11.19921875" style="19" bestFit="1" customWidth="1"/>
    <col min="14841" max="14841" width="9" style="19" bestFit="1" customWidth="1"/>
    <col min="14842" max="15092" width="9.19921875" style="19"/>
    <col min="15093" max="15093" width="2.53125" style="19" bestFit="1" customWidth="1"/>
    <col min="15094" max="15094" width="2.19921875" style="19" bestFit="1" customWidth="1"/>
    <col min="15095" max="15095" width="66.796875" style="19" bestFit="1" customWidth="1"/>
    <col min="15096" max="15096" width="11.19921875" style="19" bestFit="1" customWidth="1"/>
    <col min="15097" max="15097" width="9" style="19" bestFit="1" customWidth="1"/>
    <col min="15098" max="15348" width="9.19921875" style="19"/>
    <col min="15349" max="15349" width="2.53125" style="19" bestFit="1" customWidth="1"/>
    <col min="15350" max="15350" width="2.19921875" style="19" bestFit="1" customWidth="1"/>
    <col min="15351" max="15351" width="66.796875" style="19" bestFit="1" customWidth="1"/>
    <col min="15352" max="15352" width="11.19921875" style="19" bestFit="1" customWidth="1"/>
    <col min="15353" max="15353" width="9" style="19" bestFit="1" customWidth="1"/>
    <col min="15354" max="15604" width="9.19921875" style="19"/>
    <col min="15605" max="15605" width="2.53125" style="19" bestFit="1" customWidth="1"/>
    <col min="15606" max="15606" width="2.19921875" style="19" bestFit="1" customWidth="1"/>
    <col min="15607" max="15607" width="66.796875" style="19" bestFit="1" customWidth="1"/>
    <col min="15608" max="15608" width="11.19921875" style="19" bestFit="1" customWidth="1"/>
    <col min="15609" max="15609" width="9" style="19" bestFit="1" customWidth="1"/>
    <col min="15610" max="15860" width="9.19921875" style="19"/>
    <col min="15861" max="15861" width="2.53125" style="19" bestFit="1" customWidth="1"/>
    <col min="15862" max="15862" width="2.19921875" style="19" bestFit="1" customWidth="1"/>
    <col min="15863" max="15863" width="66.796875" style="19" bestFit="1" customWidth="1"/>
    <col min="15864" max="15864" width="11.19921875" style="19" bestFit="1" customWidth="1"/>
    <col min="15865" max="15865" width="9" style="19" bestFit="1" customWidth="1"/>
    <col min="15866" max="16116" width="9.19921875" style="19"/>
    <col min="16117" max="16117" width="2.53125" style="19" bestFit="1" customWidth="1"/>
    <col min="16118" max="16118" width="2.19921875" style="19" bestFit="1" customWidth="1"/>
    <col min="16119" max="16119" width="66.796875" style="19" bestFit="1" customWidth="1"/>
    <col min="16120" max="16120" width="11.19921875" style="19" bestFit="1" customWidth="1"/>
    <col min="16121" max="16121" width="9" style="19" bestFit="1" customWidth="1"/>
    <col min="16122" max="16380" width="9.19921875" style="19"/>
    <col min="16381" max="16384" width="9.19921875" style="19" customWidth="1"/>
  </cols>
  <sheetData>
    <row r="1" spans="1:8">
      <c r="A1" s="206" t="s">
        <v>1812</v>
      </c>
      <c r="B1" s="206"/>
    </row>
    <row r="2" spans="1:8">
      <c r="A2" s="1597" t="str">
        <f>+'BS1'!A2</f>
        <v>NIDP DEVELOPERS PRIVATE LIMITED</v>
      </c>
      <c r="B2" s="1597"/>
      <c r="C2" s="1597"/>
      <c r="D2" s="219"/>
    </row>
    <row r="3" spans="1:8">
      <c r="A3" s="279" t="s">
        <v>0</v>
      </c>
      <c r="B3" s="279"/>
      <c r="C3" s="279"/>
      <c r="D3" s="279"/>
      <c r="E3" s="1875"/>
      <c r="F3" s="1875"/>
      <c r="G3" s="279"/>
      <c r="H3" s="279"/>
    </row>
    <row r="4" spans="1:8">
      <c r="G4" s="1876" t="s">
        <v>93</v>
      </c>
      <c r="H4" s="1876"/>
    </row>
    <row r="5" spans="1:8">
      <c r="A5" s="1925" t="s">
        <v>74</v>
      </c>
      <c r="B5" s="1926"/>
      <c r="C5" s="1922" t="s">
        <v>10</v>
      </c>
      <c r="D5" s="166" t="s">
        <v>998</v>
      </c>
      <c r="E5" s="1569" t="s">
        <v>1573</v>
      </c>
      <c r="F5" s="1573"/>
      <c r="G5" s="648" t="s">
        <v>344</v>
      </c>
      <c r="H5" s="644" t="s">
        <v>739</v>
      </c>
    </row>
    <row r="6" spans="1:8">
      <c r="A6" s="1927"/>
      <c r="B6" s="1928"/>
      <c r="C6" s="1923"/>
      <c r="D6" s="166" t="s">
        <v>342</v>
      </c>
      <c r="E6" s="1586" t="s">
        <v>343</v>
      </c>
      <c r="F6" s="1571"/>
      <c r="G6" s="648" t="s">
        <v>1442</v>
      </c>
      <c r="H6" s="644" t="s">
        <v>2024</v>
      </c>
    </row>
    <row r="7" spans="1:8">
      <c r="A7" s="1929"/>
      <c r="B7" s="1930"/>
      <c r="C7" s="1924"/>
      <c r="D7" s="147" t="s">
        <v>182</v>
      </c>
      <c r="E7" s="147" t="s">
        <v>182</v>
      </c>
      <c r="F7" s="147" t="s">
        <v>338</v>
      </c>
      <c r="G7" s="147" t="s">
        <v>338</v>
      </c>
      <c r="H7" s="147" t="s">
        <v>338</v>
      </c>
    </row>
    <row r="8" spans="1:8" ht="28.5">
      <c r="A8" s="67" t="s">
        <v>32</v>
      </c>
      <c r="B8" s="67" t="s">
        <v>15</v>
      </c>
      <c r="C8" s="207" t="s">
        <v>210</v>
      </c>
      <c r="D8" s="918"/>
      <c r="E8" s="667">
        <f>+D14</f>
        <v>0</v>
      </c>
      <c r="F8" s="667">
        <f>+D14</f>
        <v>0</v>
      </c>
      <c r="G8" s="667">
        <f>+F14</f>
        <v>72.845440307848477</v>
      </c>
      <c r="H8" s="667">
        <f>+G14</f>
        <v>72.845440307848477</v>
      </c>
    </row>
    <row r="9" spans="1:8" ht="28.5">
      <c r="A9" s="67"/>
      <c r="B9" s="67" t="s">
        <v>16</v>
      </c>
      <c r="C9" s="207" t="s">
        <v>1570</v>
      </c>
      <c r="D9" s="918"/>
      <c r="E9" s="712"/>
      <c r="F9" s="712"/>
      <c r="G9" s="712"/>
      <c r="H9" s="712"/>
    </row>
    <row r="10" spans="1:8" ht="15" customHeight="1">
      <c r="A10" s="67"/>
      <c r="B10" s="67"/>
      <c r="C10" s="207"/>
      <c r="D10" s="918"/>
      <c r="E10" s="712"/>
      <c r="F10" s="712"/>
      <c r="G10" s="712"/>
      <c r="H10" s="712"/>
    </row>
    <row r="11" spans="1:8" ht="28.5">
      <c r="A11" s="67" t="s">
        <v>33</v>
      </c>
      <c r="B11" s="67" t="s">
        <v>15</v>
      </c>
      <c r="C11" s="207" t="s">
        <v>211</v>
      </c>
      <c r="D11" s="918"/>
      <c r="E11" s="667">
        <f>+F24_Dep!C47</f>
        <v>72.845440307848477</v>
      </c>
      <c r="F11" s="667">
        <f>+E11</f>
        <v>72.845440307848477</v>
      </c>
      <c r="G11" s="667">
        <f>+F24_Dep!C70</f>
        <v>0</v>
      </c>
      <c r="H11" s="667">
        <f>+F24_Dep!C93</f>
        <v>2.7</v>
      </c>
    </row>
    <row r="12" spans="1:8" s="37" customFormat="1" ht="28.5">
      <c r="A12" s="67"/>
      <c r="B12" s="67" t="s">
        <v>16</v>
      </c>
      <c r="C12" s="207" t="s">
        <v>1571</v>
      </c>
      <c r="D12" s="918"/>
      <c r="E12" s="712"/>
      <c r="F12" s="712"/>
      <c r="G12" s="712"/>
      <c r="H12" s="712"/>
    </row>
    <row r="13" spans="1:8">
      <c r="A13" s="67"/>
      <c r="B13" s="67"/>
      <c r="C13" s="207"/>
      <c r="D13" s="918"/>
      <c r="E13" s="712"/>
      <c r="F13" s="712"/>
      <c r="G13" s="712"/>
      <c r="H13" s="712"/>
    </row>
    <row r="14" spans="1:8" ht="27.75" customHeight="1">
      <c r="A14" s="67" t="s">
        <v>39</v>
      </c>
      <c r="B14" s="67" t="s">
        <v>15</v>
      </c>
      <c r="C14" s="207" t="s">
        <v>212</v>
      </c>
      <c r="D14" s="958">
        <v>0</v>
      </c>
      <c r="E14" s="667">
        <f>+E8+E11</f>
        <v>72.845440307848477</v>
      </c>
      <c r="F14" s="667">
        <f>+F8+F11</f>
        <v>72.845440307848477</v>
      </c>
      <c r="G14" s="667">
        <f>+G8+G11</f>
        <v>72.845440307848477</v>
      </c>
      <c r="H14" s="667">
        <f>+H8+H11</f>
        <v>75.54544030784848</v>
      </c>
    </row>
    <row r="15" spans="1:8" ht="28.5">
      <c r="A15" s="67"/>
      <c r="B15" s="67" t="s">
        <v>16</v>
      </c>
      <c r="C15" s="207" t="s">
        <v>1572</v>
      </c>
      <c r="D15" s="918"/>
      <c r="E15" s="712"/>
      <c r="F15" s="712"/>
      <c r="G15" s="712"/>
      <c r="H15" s="712"/>
    </row>
    <row r="16" spans="1:8" ht="15.75">
      <c r="A16" s="1921"/>
      <c r="B16" s="1921"/>
      <c r="C16" s="1921"/>
      <c r="D16" s="959"/>
    </row>
    <row r="17" spans="1:8" ht="15.75">
      <c r="A17" s="1921"/>
      <c r="B17" s="1921"/>
      <c r="C17" s="1921"/>
      <c r="D17" s="959"/>
    </row>
    <row r="18" spans="1:8">
      <c r="A18" s="114"/>
      <c r="B18" s="114"/>
      <c r="C18" s="115"/>
      <c r="D18" s="115"/>
      <c r="E18" s="149"/>
      <c r="F18" s="149"/>
      <c r="G18" s="149"/>
      <c r="H18" s="149"/>
    </row>
    <row r="19" spans="1:8">
      <c r="A19" s="114"/>
      <c r="B19" s="114"/>
      <c r="C19" s="115"/>
      <c r="D19" s="115"/>
    </row>
  </sheetData>
  <mergeCells count="9">
    <mergeCell ref="A2:C2"/>
    <mergeCell ref="A17:C17"/>
    <mergeCell ref="E3:F3"/>
    <mergeCell ref="G4:H4"/>
    <mergeCell ref="E5:F5"/>
    <mergeCell ref="A16:C16"/>
    <mergeCell ref="C5:C7"/>
    <mergeCell ref="A5:B7"/>
    <mergeCell ref="E6:F6"/>
  </mergeCells>
  <printOptions horizontalCentered="1"/>
  <pageMargins left="0.70866141732283472" right="0.70866141732283472" top="0.74803149606299213" bottom="0.74803149606299213" header="0.31496062992125984" footer="0.31496062992125984"/>
  <pageSetup paperSize="5" scale="135" orientation="landscape"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FFFF"/>
  </sheetPr>
  <dimension ref="A1:I14"/>
  <sheetViews>
    <sheetView view="pageBreakPreview" zoomScale="85" zoomScaleNormal="100" zoomScaleSheetLayoutView="85" workbookViewId="0">
      <selection activeCell="I11" sqref="I11"/>
    </sheetView>
  </sheetViews>
  <sheetFormatPr defaultColWidth="9.19921875" defaultRowHeight="14.25"/>
  <cols>
    <col min="1" max="1" width="6.19921875" customWidth="1"/>
    <col min="2" max="2" width="32.53125" customWidth="1"/>
    <col min="3" max="9" width="10.796875" customWidth="1"/>
  </cols>
  <sheetData>
    <row r="1" spans="1:9">
      <c r="A1" s="1597" t="s">
        <v>1813</v>
      </c>
      <c r="B1" s="1597"/>
      <c r="C1" s="219"/>
    </row>
    <row r="2" spans="1:9">
      <c r="A2" s="1931" t="str">
        <f>+'BS1'!A2</f>
        <v>NIDP DEVELOPERS PRIVATE LIMITED</v>
      </c>
      <c r="B2" s="1931"/>
      <c r="C2" s="1931"/>
      <c r="D2" s="1931"/>
      <c r="E2" s="1931"/>
      <c r="F2" s="1931"/>
      <c r="G2" s="179"/>
    </row>
    <row r="3" spans="1:9">
      <c r="A3" s="279" t="s">
        <v>1</v>
      </c>
      <c r="B3" s="279"/>
      <c r="C3" s="279"/>
      <c r="D3" s="279"/>
      <c r="E3" s="1875"/>
      <c r="F3" s="1875"/>
      <c r="G3" s="172"/>
      <c r="H3" s="1875"/>
      <c r="I3" s="1875"/>
    </row>
    <row r="4" spans="1:9">
      <c r="A4" s="19"/>
      <c r="B4" s="19"/>
      <c r="C4" s="19"/>
      <c r="E4" s="1932"/>
      <c r="F4" s="1932"/>
      <c r="G4" s="210"/>
      <c r="I4" s="651" t="s">
        <v>93</v>
      </c>
    </row>
    <row r="5" spans="1:9" ht="15" customHeight="1">
      <c r="A5" s="1922" t="s">
        <v>74</v>
      </c>
      <c r="B5" s="1922" t="s">
        <v>10</v>
      </c>
      <c r="C5" s="688" t="s">
        <v>703</v>
      </c>
      <c r="D5" s="1573" t="s">
        <v>336</v>
      </c>
      <c r="E5" s="1573"/>
      <c r="F5" s="1573"/>
      <c r="G5" s="1568" t="s">
        <v>344</v>
      </c>
      <c r="H5" s="1569"/>
      <c r="I5" s="147" t="s">
        <v>739</v>
      </c>
    </row>
    <row r="6" spans="1:9">
      <c r="A6" s="1923"/>
      <c r="B6" s="1923"/>
      <c r="C6" s="690" t="s">
        <v>342</v>
      </c>
      <c r="D6" s="1570" t="s">
        <v>343</v>
      </c>
      <c r="E6" s="1586"/>
      <c r="F6" s="1571"/>
      <c r="G6" s="1570" t="s">
        <v>1442</v>
      </c>
      <c r="H6" s="1571"/>
      <c r="I6" s="146" t="s">
        <v>2024</v>
      </c>
    </row>
    <row r="7" spans="1:9" ht="28.5">
      <c r="A7" s="1924"/>
      <c r="B7" s="1924"/>
      <c r="C7" s="689" t="s">
        <v>182</v>
      </c>
      <c r="D7" s="148" t="s">
        <v>337</v>
      </c>
      <c r="E7" s="152" t="s">
        <v>182</v>
      </c>
      <c r="F7" s="152" t="s">
        <v>338</v>
      </c>
      <c r="G7" s="151" t="s">
        <v>337</v>
      </c>
      <c r="H7" s="151" t="s">
        <v>346</v>
      </c>
      <c r="I7" s="152" t="s">
        <v>183</v>
      </c>
    </row>
    <row r="8" spans="1:9">
      <c r="A8" s="67" t="s">
        <v>32</v>
      </c>
      <c r="B8" s="142" t="s">
        <v>213</v>
      </c>
      <c r="C8" s="942">
        <v>0</v>
      </c>
      <c r="D8" s="719"/>
      <c r="E8" s="943">
        <f>+C11</f>
        <v>0</v>
      </c>
      <c r="F8" s="943">
        <f>E8</f>
        <v>0</v>
      </c>
      <c r="G8" s="943"/>
      <c r="H8" s="943">
        <f>F11</f>
        <v>16.325976505151516</v>
      </c>
      <c r="I8" s="943">
        <f>H11</f>
        <v>16.325976505151516</v>
      </c>
    </row>
    <row r="9" spans="1:9" ht="28.5">
      <c r="A9" s="67" t="s">
        <v>33</v>
      </c>
      <c r="B9" s="142" t="s">
        <v>214</v>
      </c>
      <c r="C9" s="942"/>
      <c r="D9" s="719"/>
      <c r="E9" s="944">
        <f>+[3]Financial!$E$57</f>
        <v>16.325976505151516</v>
      </c>
      <c r="F9" s="944">
        <f>+E9</f>
        <v>16.325976505151516</v>
      </c>
      <c r="G9" s="944"/>
      <c r="H9" s="944"/>
      <c r="I9" s="944"/>
    </row>
    <row r="10" spans="1:9" ht="28.5">
      <c r="A10" s="67" t="s">
        <v>39</v>
      </c>
      <c r="B10" s="142" t="s">
        <v>215</v>
      </c>
      <c r="C10" s="942"/>
      <c r="D10" s="719"/>
      <c r="E10" s="944">
        <v>0</v>
      </c>
      <c r="F10" s="944"/>
      <c r="G10" s="944"/>
      <c r="H10" s="944"/>
      <c r="I10" s="944"/>
    </row>
    <row r="11" spans="1:9">
      <c r="A11" s="67" t="s">
        <v>40</v>
      </c>
      <c r="B11" s="142" t="s">
        <v>216</v>
      </c>
      <c r="C11" s="945">
        <f>C8+C9-C10</f>
        <v>0</v>
      </c>
      <c r="D11" s="945">
        <f>D8+D9-D10</f>
        <v>0</v>
      </c>
      <c r="E11" s="945">
        <f>E8+E9-E10</f>
        <v>16.325976505151516</v>
      </c>
      <c r="F11" s="945">
        <f>F8+F9-F10</f>
        <v>16.325976505151516</v>
      </c>
      <c r="G11" s="943">
        <f t="shared" ref="G11:I11" si="0">G8+G9-G10</f>
        <v>0</v>
      </c>
      <c r="H11" s="946">
        <f t="shared" si="0"/>
        <v>16.325976505151516</v>
      </c>
      <c r="I11" s="946">
        <f t="shared" si="0"/>
        <v>16.325976505151516</v>
      </c>
    </row>
    <row r="12" spans="1:9">
      <c r="A12" s="66"/>
      <c r="B12" s="66"/>
      <c r="C12" s="66"/>
    </row>
    <row r="13" spans="1:9">
      <c r="A13" s="66"/>
      <c r="B13" s="66"/>
      <c r="C13" s="66"/>
      <c r="D13" s="149"/>
      <c r="E13" s="149"/>
      <c r="F13" s="149"/>
      <c r="G13" s="149"/>
    </row>
    <row r="14" spans="1:9">
      <c r="A14" s="66"/>
      <c r="B14" s="66"/>
      <c r="C14" s="66"/>
    </row>
  </sheetData>
  <mergeCells count="11">
    <mergeCell ref="H3:I3"/>
    <mergeCell ref="A1:B1"/>
    <mergeCell ref="G5:H5"/>
    <mergeCell ref="G6:H6"/>
    <mergeCell ref="D6:F6"/>
    <mergeCell ref="A2:F2"/>
    <mergeCell ref="B5:B7"/>
    <mergeCell ref="D5:F5"/>
    <mergeCell ref="E3:F3"/>
    <mergeCell ref="E4:F4"/>
    <mergeCell ref="A5:A7"/>
  </mergeCells>
  <printOptions horizontalCentered="1"/>
  <pageMargins left="0.70866141732283472" right="0.70866141732283472" top="0.74803149606299213" bottom="0.74803149606299213" header="0.31496062992125984" footer="0.31496062992125984"/>
  <pageSetup paperSize="5" scale="135"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FFFF"/>
  </sheetPr>
  <dimension ref="A1:H25"/>
  <sheetViews>
    <sheetView view="pageBreakPreview" zoomScale="60" zoomScaleNormal="100" workbookViewId="0">
      <selection activeCell="C21" sqref="C21"/>
    </sheetView>
  </sheetViews>
  <sheetFormatPr defaultColWidth="8.796875" defaultRowHeight="14.25"/>
  <cols>
    <col min="1" max="1" width="38.1328125" style="165" customWidth="1"/>
    <col min="2" max="2" width="11.19921875" style="213" bestFit="1" customWidth="1"/>
    <col min="3" max="3" width="12.19921875" style="213" bestFit="1" customWidth="1"/>
    <col min="4" max="4" width="11.19921875" style="213" bestFit="1" customWidth="1"/>
    <col min="5" max="5" width="12.19921875" style="213" bestFit="1" customWidth="1"/>
    <col min="6" max="6" width="11.19921875" style="213" bestFit="1" customWidth="1"/>
    <col min="7" max="7" width="12.19921875" style="213" bestFit="1" customWidth="1"/>
    <col min="8" max="16384" width="8.796875" style="213"/>
  </cols>
  <sheetData>
    <row r="1" spans="1:7">
      <c r="A1" s="206" t="s">
        <v>1814</v>
      </c>
    </row>
    <row r="2" spans="1:7">
      <c r="A2" s="219" t="str">
        <f>+'BS1'!A2</f>
        <v>NIDP DEVELOPERS PRIVATE LIMITED</v>
      </c>
    </row>
    <row r="3" spans="1:7">
      <c r="A3" s="279" t="s">
        <v>1441</v>
      </c>
      <c r="B3" s="1935" t="s">
        <v>1443</v>
      </c>
      <c r="C3" s="1935"/>
      <c r="D3" s="1935" t="s">
        <v>344</v>
      </c>
      <c r="E3" s="1935"/>
      <c r="F3" s="1935" t="s">
        <v>739</v>
      </c>
      <c r="G3" s="1935"/>
    </row>
    <row r="4" spans="1:7">
      <c r="A4" s="1933" t="s">
        <v>1574</v>
      </c>
      <c r="B4" s="1936" t="s">
        <v>343</v>
      </c>
      <c r="C4" s="1937"/>
      <c r="D4" s="1936" t="s">
        <v>1442</v>
      </c>
      <c r="E4" s="1937"/>
      <c r="F4" s="1936" t="s">
        <v>2024</v>
      </c>
      <c r="G4" s="1937"/>
    </row>
    <row r="5" spans="1:7">
      <c r="A5" s="1934"/>
      <c r="B5" s="278" t="s">
        <v>1432</v>
      </c>
      <c r="C5" s="598" t="s">
        <v>1433</v>
      </c>
      <c r="D5" s="278" t="s">
        <v>1432</v>
      </c>
      <c r="E5" s="598" t="s">
        <v>1433</v>
      </c>
      <c r="F5" s="278" t="s">
        <v>1432</v>
      </c>
      <c r="G5" s="598" t="s">
        <v>1433</v>
      </c>
    </row>
    <row r="6" spans="1:7">
      <c r="A6" s="1062" t="s">
        <v>2222</v>
      </c>
      <c r="B6" s="1063">
        <f>+F13_CAP_Plan!E11</f>
        <v>21.172730562000002</v>
      </c>
      <c r="C6" s="1063">
        <v>13.588930811393938</v>
      </c>
      <c r="D6" s="1063"/>
      <c r="E6" s="1063"/>
      <c r="F6" s="1063"/>
      <c r="G6" s="1063"/>
    </row>
    <row r="7" spans="1:7">
      <c r="A7" s="1062" t="s">
        <v>2223</v>
      </c>
      <c r="B7" s="1063">
        <f>+F13_CAP_Plan!E12</f>
        <v>5.2315244219999988</v>
      </c>
      <c r="C7" s="1063">
        <v>5.221419622</v>
      </c>
      <c r="D7" s="1063"/>
      <c r="E7" s="1063"/>
      <c r="F7" s="1063"/>
      <c r="G7" s="1063"/>
    </row>
    <row r="8" spans="1:7" ht="28.5">
      <c r="A8" s="1062" t="s">
        <v>2224</v>
      </c>
      <c r="B8" s="1063">
        <f>+F13_CAP_Plan!E13</f>
        <v>15.431202344999999</v>
      </c>
      <c r="C8" s="1063">
        <v>9.1581650779090893</v>
      </c>
      <c r="D8" s="1063"/>
      <c r="E8" s="1063"/>
      <c r="F8" s="1063"/>
      <c r="G8" s="1063"/>
    </row>
    <row r="9" spans="1:7">
      <c r="A9" s="1062" t="s">
        <v>2225</v>
      </c>
      <c r="B9" s="1063">
        <f>+F13_CAP_Plan!E14</f>
        <v>2.9096409800000003</v>
      </c>
      <c r="C9" s="1063">
        <v>1.6316884345454543</v>
      </c>
      <c r="D9" s="1063"/>
      <c r="E9" s="1063"/>
      <c r="F9" s="1063"/>
      <c r="G9" s="1063"/>
    </row>
    <row r="10" spans="1:7">
      <c r="A10" s="1062" t="s">
        <v>2226</v>
      </c>
      <c r="B10" s="1063">
        <f>+F13_CAP_Plan!E15</f>
        <v>0.17189295299999999</v>
      </c>
      <c r="C10" s="1063">
        <v>8.3992953000000009E-2</v>
      </c>
      <c r="D10" s="1063"/>
      <c r="E10" s="1063"/>
      <c r="F10" s="1063"/>
      <c r="G10" s="1063"/>
    </row>
    <row r="11" spans="1:7" ht="28.5">
      <c r="A11" s="1062" t="s">
        <v>2227</v>
      </c>
      <c r="B11" s="1063">
        <f>+F13_CAP_Plan!E16</f>
        <v>0.309502159</v>
      </c>
      <c r="C11" s="1063">
        <v>0.30950215900000005</v>
      </c>
      <c r="D11" s="1063"/>
      <c r="E11" s="1063"/>
      <c r="F11" s="1063"/>
      <c r="G11" s="1063"/>
    </row>
    <row r="12" spans="1:7">
      <c r="A12" s="98" t="s">
        <v>2228</v>
      </c>
      <c r="B12" s="1063">
        <f>+F13_CAP_Plan!E17</f>
        <v>0.66953607500000001</v>
      </c>
      <c r="C12" s="1063">
        <v>0.31489073300000003</v>
      </c>
      <c r="D12" s="1063"/>
      <c r="E12" s="1063"/>
      <c r="F12" s="1063"/>
      <c r="G12" s="1063"/>
    </row>
    <row r="13" spans="1:7">
      <c r="A13" s="98" t="s">
        <v>2229</v>
      </c>
      <c r="B13" s="1063">
        <f>+F13_CAP_Plan!E18</f>
        <v>2.7492412160000002</v>
      </c>
      <c r="C13" s="1063">
        <v>2.7492412160000002</v>
      </c>
      <c r="D13" s="1063"/>
      <c r="E13" s="1063"/>
      <c r="F13" s="1063"/>
      <c r="G13" s="1063"/>
    </row>
    <row r="14" spans="1:7">
      <c r="A14" s="98" t="s">
        <v>2230</v>
      </c>
      <c r="B14" s="1063">
        <f>+F13_CAP_Plan!E19</f>
        <v>0.43189642699999997</v>
      </c>
      <c r="C14" s="1063">
        <v>0.43189642699999997</v>
      </c>
      <c r="D14" s="1063"/>
      <c r="E14" s="1063"/>
      <c r="F14" s="1063"/>
      <c r="G14" s="1063"/>
    </row>
    <row r="15" spans="1:7">
      <c r="A15" s="98" t="s">
        <v>2231</v>
      </c>
      <c r="B15" s="1063">
        <f>+F13_CAP_Plan!E20</f>
        <v>0.34537057400000004</v>
      </c>
      <c r="C15" s="1063">
        <v>0.31122897400000005</v>
      </c>
      <c r="D15" s="1063"/>
      <c r="E15" s="1063"/>
      <c r="F15" s="1063"/>
      <c r="G15" s="1063"/>
    </row>
    <row r="16" spans="1:7">
      <c r="A16" s="98" t="s">
        <v>2232</v>
      </c>
      <c r="B16" s="1063">
        <f>+F13_CAP_Plan!E21</f>
        <v>37.639763272000003</v>
      </c>
      <c r="C16" s="1063">
        <f>1.720660272+F13_CAP_Plan!H21</f>
        <v>37.639763271999996</v>
      </c>
      <c r="D16" s="1063"/>
      <c r="E16" s="1063"/>
      <c r="F16" s="1063"/>
      <c r="G16" s="1063"/>
    </row>
    <row r="17" spans="1:8">
      <c r="A17" s="98" t="s">
        <v>2233</v>
      </c>
      <c r="B17" s="1063">
        <f>+F13_CAP_Plan!E22</f>
        <v>2.3262088E-2</v>
      </c>
      <c r="C17" s="1063">
        <v>2.3262088000000004E-2</v>
      </c>
      <c r="D17" s="1063"/>
      <c r="E17" s="1063"/>
      <c r="F17" s="1063"/>
      <c r="G17" s="1063"/>
    </row>
    <row r="18" spans="1:8">
      <c r="A18" s="98" t="s">
        <v>2234</v>
      </c>
      <c r="B18" s="1063">
        <f>+F13_CAP_Plan!E23</f>
        <v>2.0858537400000001</v>
      </c>
      <c r="C18" s="1063">
        <v>1.3814585400000001</v>
      </c>
      <c r="D18" s="1063"/>
      <c r="E18" s="1063"/>
      <c r="F18" s="1064">
        <v>2.7</v>
      </c>
      <c r="G18" s="1063">
        <f>+F18</f>
        <v>2.7</v>
      </c>
    </row>
    <row r="19" spans="1:8">
      <c r="A19" s="1065"/>
      <c r="B19" s="1064"/>
      <c r="C19" s="1064"/>
      <c r="D19" s="1064"/>
      <c r="E19" s="1064"/>
      <c r="F19" s="1064"/>
      <c r="G19" s="1064"/>
    </row>
    <row r="20" spans="1:8" s="153" customFormat="1" ht="28.5">
      <c r="A20" s="600" t="s">
        <v>1434</v>
      </c>
      <c r="B20" s="1058">
        <f t="shared" ref="B20:G20" si="0">SUM(B6:B19)</f>
        <v>89.171416813000008</v>
      </c>
      <c r="C20" s="1058">
        <f t="shared" si="0"/>
        <v>72.845440307848477</v>
      </c>
      <c r="D20" s="1058">
        <f t="shared" si="0"/>
        <v>0</v>
      </c>
      <c r="E20" s="1058">
        <f t="shared" si="0"/>
        <v>0</v>
      </c>
      <c r="F20" s="1058">
        <f t="shared" si="0"/>
        <v>2.7</v>
      </c>
      <c r="G20" s="1058">
        <f t="shared" si="0"/>
        <v>2.7</v>
      </c>
      <c r="H20" s="213"/>
    </row>
    <row r="21" spans="1:8" ht="42.75">
      <c r="A21" s="599" t="s">
        <v>2235</v>
      </c>
      <c r="B21" s="641"/>
      <c r="C21" s="1066" t="s">
        <v>2236</v>
      </c>
      <c r="D21" s="641"/>
      <c r="E21" s="641"/>
      <c r="F21" s="641"/>
      <c r="G21" s="641"/>
    </row>
    <row r="22" spans="1:8">
      <c r="A22" s="599" t="s">
        <v>1435</v>
      </c>
      <c r="B22" s="641"/>
      <c r="C22" s="641"/>
      <c r="D22" s="641"/>
      <c r="E22" s="641"/>
      <c r="F22" s="641"/>
      <c r="G22" s="641"/>
    </row>
    <row r="23" spans="1:8" s="153" customFormat="1">
      <c r="A23" s="600" t="s">
        <v>1436</v>
      </c>
      <c r="B23" s="642">
        <f t="shared" ref="B23:G23" si="1">B20-B21-B22</f>
        <v>89.171416813000008</v>
      </c>
      <c r="C23" s="642">
        <f>C20</f>
        <v>72.845440307848477</v>
      </c>
      <c r="D23" s="642">
        <f t="shared" si="1"/>
        <v>0</v>
      </c>
      <c r="E23" s="642">
        <f t="shared" si="1"/>
        <v>0</v>
      </c>
      <c r="F23" s="642">
        <f t="shared" si="1"/>
        <v>2.7</v>
      </c>
      <c r="G23" s="642">
        <f t="shared" si="1"/>
        <v>2.7</v>
      </c>
      <c r="H23" s="213"/>
    </row>
    <row r="24" spans="1:8" s="153" customFormat="1">
      <c r="A24" s="600" t="s">
        <v>1437</v>
      </c>
      <c r="B24" s="643"/>
      <c r="C24" s="643"/>
      <c r="D24" s="643"/>
      <c r="E24" s="643"/>
      <c r="F24" s="643"/>
      <c r="G24" s="643"/>
      <c r="H24" s="213"/>
    </row>
    <row r="25" spans="1:8" s="153" customFormat="1">
      <c r="A25" s="600" t="s">
        <v>1438</v>
      </c>
      <c r="B25" s="642">
        <f t="shared" ref="B25:G25" si="2">B23-B24</f>
        <v>89.171416813000008</v>
      </c>
      <c r="C25" s="642">
        <f t="shared" si="2"/>
        <v>72.845440307848477</v>
      </c>
      <c r="D25" s="642">
        <f t="shared" si="2"/>
        <v>0</v>
      </c>
      <c r="E25" s="642">
        <f t="shared" si="2"/>
        <v>0</v>
      </c>
      <c r="F25" s="642">
        <f t="shared" si="2"/>
        <v>2.7</v>
      </c>
      <c r="G25" s="642">
        <f t="shared" si="2"/>
        <v>2.7</v>
      </c>
      <c r="H25" s="213"/>
    </row>
  </sheetData>
  <mergeCells count="7">
    <mergeCell ref="A4:A5"/>
    <mergeCell ref="B3:C3"/>
    <mergeCell ref="D3:E3"/>
    <mergeCell ref="F3:G3"/>
    <mergeCell ref="D4:E4"/>
    <mergeCell ref="F4:G4"/>
    <mergeCell ref="B4:C4"/>
  </mergeCells>
  <printOptions horizontalCentered="1"/>
  <pageMargins left="0.51181102362204722" right="0.51181102362204722" top="0.55118110236220474" bottom="0.55118110236220474" header="0.31496062992125984" footer="0.31496062992125984"/>
  <pageSetup paperSize="5" scale="11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FFFF"/>
  </sheetPr>
  <dimension ref="A1:J27"/>
  <sheetViews>
    <sheetView view="pageBreakPreview" zoomScale="85" zoomScaleNormal="100" zoomScaleSheetLayoutView="85" workbookViewId="0"/>
  </sheetViews>
  <sheetFormatPr defaultColWidth="9.19921875" defaultRowHeight="13.15"/>
  <cols>
    <col min="1" max="1" width="32.53125" style="496" customWidth="1"/>
    <col min="2" max="2" width="9.796875" style="496" bestFit="1" customWidth="1"/>
    <col min="3" max="3" width="11.796875" style="496" bestFit="1" customWidth="1"/>
    <col min="4" max="5" width="9.796875" style="496" bestFit="1" customWidth="1"/>
    <col min="6" max="6" width="10.19921875" style="496" bestFit="1" customWidth="1"/>
    <col min="7" max="7" width="9.6640625" style="496" customWidth="1"/>
    <col min="8" max="8" width="11.265625" style="496" customWidth="1"/>
    <col min="9" max="9" width="10.6640625" style="496" customWidth="1"/>
    <col min="10" max="10" width="11" style="496" customWidth="1"/>
    <col min="11" max="16384" width="9.19921875" style="496"/>
  </cols>
  <sheetData>
    <row r="1" spans="1:10">
      <c r="A1" s="505" t="s">
        <v>1815</v>
      </c>
      <c r="B1" s="505"/>
      <c r="C1" s="505"/>
    </row>
    <row r="2" spans="1:10">
      <c r="A2" s="1938" t="str">
        <f>+'BS1'!A2</f>
        <v>NIDP DEVELOPERS PRIVATE LIMITED</v>
      </c>
      <c r="B2" s="1938"/>
      <c r="C2" s="1938"/>
      <c r="D2" s="1938"/>
      <c r="E2" s="1938"/>
      <c r="F2" s="1938"/>
      <c r="G2" s="1938"/>
      <c r="H2" s="1938"/>
      <c r="I2" s="1938"/>
    </row>
    <row r="3" spans="1:10">
      <c r="A3" s="506" t="s">
        <v>138</v>
      </c>
      <c r="B3" s="506"/>
      <c r="C3" s="506"/>
      <c r="D3" s="506"/>
      <c r="E3" s="506"/>
      <c r="F3" s="506"/>
      <c r="G3" s="506"/>
      <c r="H3" s="506"/>
      <c r="I3" s="506"/>
      <c r="J3" s="507"/>
    </row>
    <row r="4" spans="1:10">
      <c r="A4" s="508"/>
      <c r="B4" s="508"/>
      <c r="C4" s="508"/>
      <c r="D4" s="508"/>
      <c r="E4" s="508"/>
      <c r="F4" s="508"/>
      <c r="G4" s="508"/>
      <c r="H4" s="508"/>
      <c r="I4" s="508"/>
      <c r="J4" s="509"/>
    </row>
    <row r="5" spans="1:10">
      <c r="A5" s="1939" t="s">
        <v>10</v>
      </c>
      <c r="B5" s="1942" t="s">
        <v>621</v>
      </c>
      <c r="C5" s="1943"/>
      <c r="D5" s="1943"/>
      <c r="E5" s="1943"/>
      <c r="F5" s="1944"/>
      <c r="G5" s="1945" t="s">
        <v>336</v>
      </c>
      <c r="H5" s="1945"/>
      <c r="I5" s="510" t="s">
        <v>344</v>
      </c>
      <c r="J5" s="510" t="s">
        <v>739</v>
      </c>
    </row>
    <row r="6" spans="1:10">
      <c r="A6" s="1940"/>
      <c r="B6" s="491" t="s">
        <v>345</v>
      </c>
      <c r="C6" s="491" t="s">
        <v>339</v>
      </c>
      <c r="D6" s="491" t="s">
        <v>340</v>
      </c>
      <c r="E6" s="491" t="s">
        <v>341</v>
      </c>
      <c r="F6" s="491" t="s">
        <v>342</v>
      </c>
      <c r="G6" s="1946" t="s">
        <v>343</v>
      </c>
      <c r="H6" s="1947"/>
      <c r="I6" s="491" t="s">
        <v>1442</v>
      </c>
      <c r="J6" s="491" t="s">
        <v>2024</v>
      </c>
    </row>
    <row r="7" spans="1:10" ht="26.25">
      <c r="A7" s="1941"/>
      <c r="B7" s="491" t="s">
        <v>347</v>
      </c>
      <c r="C7" s="491" t="s">
        <v>347</v>
      </c>
      <c r="D7" s="491" t="s">
        <v>347</v>
      </c>
      <c r="E7" s="491" t="s">
        <v>347</v>
      </c>
      <c r="F7" s="491" t="s">
        <v>347</v>
      </c>
      <c r="G7" s="511" t="s">
        <v>337</v>
      </c>
      <c r="H7" s="492" t="s">
        <v>338</v>
      </c>
      <c r="I7" s="511" t="s">
        <v>346</v>
      </c>
      <c r="J7" s="510" t="s">
        <v>183</v>
      </c>
    </row>
    <row r="8" spans="1:10">
      <c r="A8" s="823" t="s">
        <v>166</v>
      </c>
      <c r="B8" s="835">
        <v>312</v>
      </c>
      <c r="C8" s="837">
        <v>329</v>
      </c>
      <c r="D8" s="826">
        <v>345.88799999999998</v>
      </c>
      <c r="E8" s="827">
        <v>367.77600000000001</v>
      </c>
      <c r="F8" s="827">
        <v>386.49599999999998</v>
      </c>
      <c r="G8" s="820"/>
      <c r="H8" s="827">
        <v>401.47199999999998</v>
      </c>
      <c r="I8" s="820"/>
      <c r="J8" s="822"/>
    </row>
    <row r="9" spans="1:10">
      <c r="A9" s="823" t="s">
        <v>167</v>
      </c>
      <c r="B9" s="835">
        <v>314</v>
      </c>
      <c r="C9" s="837">
        <v>330</v>
      </c>
      <c r="D9" s="826">
        <v>347.32799999999997</v>
      </c>
      <c r="E9" s="827">
        <v>371.52</v>
      </c>
      <c r="F9" s="827">
        <v>387.93599999999998</v>
      </c>
      <c r="G9" s="820"/>
      <c r="H9" s="827">
        <v>402.91199999999998</v>
      </c>
      <c r="I9" s="820"/>
      <c r="J9" s="822"/>
    </row>
    <row r="10" spans="1:10">
      <c r="A10" s="823" t="s">
        <v>168</v>
      </c>
      <c r="B10" s="835">
        <v>316</v>
      </c>
      <c r="C10" s="837">
        <v>332</v>
      </c>
      <c r="D10" s="826">
        <v>350.49599999999998</v>
      </c>
      <c r="E10" s="827">
        <v>372.09599999999995</v>
      </c>
      <c r="F10" s="827">
        <v>392.83199999999999</v>
      </c>
      <c r="G10" s="820"/>
      <c r="H10" s="827">
        <v>407.23200000000003</v>
      </c>
      <c r="I10" s="820"/>
      <c r="J10" s="822"/>
    </row>
    <row r="11" spans="1:10">
      <c r="A11" s="823" t="s">
        <v>169</v>
      </c>
      <c r="B11" s="835">
        <v>319</v>
      </c>
      <c r="C11" s="837">
        <v>336</v>
      </c>
      <c r="D11" s="826">
        <v>353.66399999999999</v>
      </c>
      <c r="E11" s="827">
        <v>374.11200000000002</v>
      </c>
      <c r="F11" s="827">
        <v>402.33599999999996</v>
      </c>
      <c r="G11" s="820"/>
      <c r="H11" s="827">
        <v>410.97599999999994</v>
      </c>
      <c r="I11" s="820"/>
      <c r="J11" s="822"/>
    </row>
    <row r="12" spans="1:10">
      <c r="A12" s="823" t="s">
        <v>170</v>
      </c>
      <c r="B12" s="835">
        <v>320</v>
      </c>
      <c r="C12" s="837">
        <v>338</v>
      </c>
      <c r="D12" s="826">
        <v>354.24</v>
      </c>
      <c r="E12" s="827">
        <v>374.97599999999994</v>
      </c>
      <c r="F12" s="827">
        <v>400.89599999999996</v>
      </c>
      <c r="G12" s="820"/>
      <c r="H12" s="827">
        <v>410.68799999999999</v>
      </c>
      <c r="I12" s="820"/>
      <c r="J12" s="822"/>
    </row>
    <row r="13" spans="1:10">
      <c r="A13" s="823" t="s">
        <v>171</v>
      </c>
      <c r="B13" s="835">
        <v>322</v>
      </c>
      <c r="C13" s="837">
        <v>340.12799999999999</v>
      </c>
      <c r="D13" s="826">
        <v>355.10399999999998</v>
      </c>
      <c r="E13" s="827">
        <v>378.14400000000001</v>
      </c>
      <c r="F13" s="827">
        <v>396</v>
      </c>
      <c r="G13" s="820"/>
      <c r="H13" s="827">
        <v>412.70400000000001</v>
      </c>
      <c r="I13" s="820"/>
      <c r="J13" s="822"/>
    </row>
    <row r="14" spans="1:10">
      <c r="A14" s="823" t="s">
        <v>176</v>
      </c>
      <c r="B14" s="835">
        <v>325</v>
      </c>
      <c r="C14" s="837">
        <v>344.15999999999997</v>
      </c>
      <c r="D14" s="826">
        <v>359.71199999999999</v>
      </c>
      <c r="E14" s="827">
        <v>381.59999999999997</v>
      </c>
      <c r="F14" s="827">
        <v>398.59199999999998</v>
      </c>
      <c r="G14" s="820"/>
      <c r="H14" s="827">
        <v>416.15999999999997</v>
      </c>
      <c r="I14" s="820"/>
      <c r="J14" s="822"/>
    </row>
    <row r="15" spans="1:10">
      <c r="A15" s="823" t="s">
        <v>172</v>
      </c>
      <c r="B15" s="824">
        <v>328</v>
      </c>
      <c r="C15" s="837">
        <v>345.31200000000001</v>
      </c>
      <c r="D15" s="826">
        <v>362.01600000000002</v>
      </c>
      <c r="E15" s="827">
        <v>381.59999999999997</v>
      </c>
      <c r="F15" s="827">
        <v>400.60799999999995</v>
      </c>
      <c r="G15" s="820"/>
      <c r="H15" s="827">
        <v>416.15999999999997</v>
      </c>
      <c r="I15" s="820"/>
      <c r="J15" s="822"/>
    </row>
    <row r="16" spans="1:10">
      <c r="A16" s="823" t="s">
        <v>173</v>
      </c>
      <c r="B16" s="824">
        <v>330</v>
      </c>
      <c r="C16" s="837">
        <v>342.14400000000001</v>
      </c>
      <c r="D16" s="826">
        <v>361.15199999999999</v>
      </c>
      <c r="E16" s="827">
        <v>381.024</v>
      </c>
      <c r="F16" s="827">
        <v>399.74400000000003</v>
      </c>
      <c r="G16" s="820"/>
      <c r="H16" s="827">
        <v>413.85599999999994</v>
      </c>
      <c r="I16" s="820"/>
      <c r="J16" s="822"/>
    </row>
    <row r="17" spans="1:10">
      <c r="A17" s="823" t="s">
        <v>175</v>
      </c>
      <c r="B17" s="824">
        <v>330</v>
      </c>
      <c r="C17" s="837">
        <v>340.416</v>
      </c>
      <c r="D17" s="826">
        <v>360.28799999999995</v>
      </c>
      <c r="E17" s="827">
        <v>382.464</v>
      </c>
      <c r="F17" s="827">
        <v>400.03199999999998</v>
      </c>
      <c r="G17" s="820"/>
      <c r="H17" s="827">
        <v>412.41599999999994</v>
      </c>
      <c r="I17" s="820"/>
      <c r="J17" s="822"/>
    </row>
    <row r="18" spans="1:10">
      <c r="A18" s="823" t="s">
        <v>174</v>
      </c>
      <c r="B18" s="836">
        <v>328</v>
      </c>
      <c r="C18" s="837">
        <v>342.71999999999997</v>
      </c>
      <c r="D18" s="826">
        <v>360</v>
      </c>
      <c r="E18" s="827">
        <v>382.17599999999993</v>
      </c>
      <c r="F18" s="827">
        <v>400.89599999999996</v>
      </c>
      <c r="G18" s="820"/>
      <c r="H18" s="827">
        <v>411.26400000000001</v>
      </c>
      <c r="I18" s="820"/>
      <c r="J18" s="822"/>
    </row>
    <row r="19" spans="1:10">
      <c r="A19" s="823" t="s">
        <v>177</v>
      </c>
      <c r="B19" s="824">
        <v>326</v>
      </c>
      <c r="C19" s="837">
        <v>344.44799999999998</v>
      </c>
      <c r="D19" s="826">
        <v>362.88</v>
      </c>
      <c r="E19" s="827">
        <v>383.904</v>
      </c>
      <c r="F19" s="827">
        <v>400.03199999999998</v>
      </c>
      <c r="G19" s="820"/>
      <c r="H19" s="827">
        <v>411.84</v>
      </c>
      <c r="I19" s="820"/>
      <c r="J19" s="822"/>
    </row>
    <row r="20" spans="1:10">
      <c r="A20" s="818"/>
      <c r="B20" s="819"/>
      <c r="C20" s="819"/>
      <c r="D20" s="819"/>
      <c r="E20" s="819"/>
      <c r="F20" s="819"/>
      <c r="G20" s="820"/>
      <c r="H20" s="821"/>
      <c r="I20" s="820"/>
      <c r="J20" s="822"/>
    </row>
    <row r="21" spans="1:10">
      <c r="A21" s="512" t="s">
        <v>220</v>
      </c>
      <c r="B21" s="828">
        <f>AVERAGE(B8:B19)</f>
        <v>322.5</v>
      </c>
      <c r="C21" s="828">
        <f t="shared" ref="C21:H21" si="0">AVERAGE(C8:C19)</f>
        <v>338.69399999999996</v>
      </c>
      <c r="D21" s="828">
        <f t="shared" si="0"/>
        <v>356.06400000000002</v>
      </c>
      <c r="E21" s="828">
        <f t="shared" si="0"/>
        <v>377.61599999999999</v>
      </c>
      <c r="F21" s="828">
        <f t="shared" si="0"/>
        <v>397.20000000000005</v>
      </c>
      <c r="G21" s="569"/>
      <c r="H21" s="828">
        <f t="shared" si="0"/>
        <v>410.63999999999993</v>
      </c>
      <c r="I21" s="570"/>
      <c r="J21" s="569"/>
    </row>
    <row r="22" spans="1:10">
      <c r="A22" s="513" t="s">
        <v>1417</v>
      </c>
      <c r="B22" s="571"/>
      <c r="C22" s="829">
        <f>IFERROR((C21-B21)/B21,0)</f>
        <v>5.0213953488371967E-2</v>
      </c>
      <c r="D22" s="829">
        <f t="shared" ref="D22:F22" si="1">IFERROR((D21-C21)/C21,0)</f>
        <v>5.1285230916402601E-2</v>
      </c>
      <c r="E22" s="829">
        <f t="shared" si="1"/>
        <v>6.0528444324615696E-2</v>
      </c>
      <c r="F22" s="829">
        <f t="shared" si="1"/>
        <v>5.1862209228422683E-2</v>
      </c>
      <c r="G22" s="571"/>
      <c r="H22" s="829">
        <f>IFERROR((H21-F21)/F21,0)</f>
        <v>3.3836858006041998E-2</v>
      </c>
      <c r="I22" s="829">
        <f>AVERAGE(E22,F22,H22)</f>
        <v>4.8742503853026788E-2</v>
      </c>
      <c r="J22" s="829">
        <f>+I22</f>
        <v>4.8742503853026788E-2</v>
      </c>
    </row>
    <row r="23" spans="1:10">
      <c r="A23" s="514"/>
      <c r="B23" s="514"/>
      <c r="C23" s="514"/>
      <c r="D23" s="515"/>
      <c r="E23" s="515"/>
      <c r="F23" s="515"/>
      <c r="G23" s="513"/>
      <c r="H23" s="513"/>
      <c r="I23" s="513"/>
      <c r="J23" s="513"/>
    </row>
    <row r="24" spans="1:10">
      <c r="A24" s="496" t="s">
        <v>221</v>
      </c>
    </row>
    <row r="25" spans="1:10">
      <c r="A25" s="496" t="s">
        <v>630</v>
      </c>
      <c r="I25" s="647"/>
    </row>
    <row r="27" spans="1:10" ht="14.25">
      <c r="A27" s="830" t="s">
        <v>2085</v>
      </c>
      <c r="B27" s="832" t="s">
        <v>2086</v>
      </c>
      <c r="C27" s="833"/>
      <c r="D27" s="833"/>
      <c r="E27" s="833"/>
      <c r="G27" s="834" t="s">
        <v>2087</v>
      </c>
    </row>
  </sheetData>
  <mergeCells count="5">
    <mergeCell ref="A2:I2"/>
    <mergeCell ref="A5:A7"/>
    <mergeCell ref="B5:F5"/>
    <mergeCell ref="G5:H5"/>
    <mergeCell ref="G6:H6"/>
  </mergeCells>
  <phoneticPr fontId="83" type="noConversion"/>
  <hyperlinks>
    <hyperlink ref="B27" r:id="rId1" xr:uid="{3A239297-9804-48D1-AF82-44F7AFE34573}"/>
    <hyperlink ref="G27" r:id="rId2" display="https://labourbureau.gov.in/all-india-general-index-1" xr:uid="{E3617FE8-AC38-4537-8D0A-ACA5F556AE03}"/>
  </hyperlinks>
  <printOptions horizontalCentered="1"/>
  <pageMargins left="0.70866141732283472" right="0.70866141732283472" top="0.74803149606299213" bottom="0.74803149606299213" header="0.31496062992125984" footer="0.31496062992125984"/>
  <pageSetup paperSize="5" scale="120" orientation="landscape"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0FFFF"/>
  </sheetPr>
  <dimension ref="A1:J27"/>
  <sheetViews>
    <sheetView view="pageBreakPreview" topLeftCell="B1" zoomScale="85" zoomScaleNormal="100" zoomScaleSheetLayoutView="85" workbookViewId="0">
      <selection activeCell="T96" sqref="T96"/>
    </sheetView>
  </sheetViews>
  <sheetFormatPr defaultColWidth="9.19921875" defaultRowHeight="13.15"/>
  <cols>
    <col min="1" max="1" width="32.53125" style="496" customWidth="1"/>
    <col min="2" max="2" width="11" style="496" customWidth="1"/>
    <col min="3" max="3" width="9.796875" style="496" bestFit="1" customWidth="1"/>
    <col min="4" max="6" width="10.796875" style="496" customWidth="1"/>
    <col min="7" max="7" width="9.265625" style="496" customWidth="1"/>
    <col min="8" max="8" width="13.19921875" style="496" customWidth="1"/>
    <col min="9" max="9" width="11.06640625" style="496" customWidth="1"/>
    <col min="10" max="10" width="10.86328125" style="496" customWidth="1"/>
    <col min="11" max="16384" width="9.19921875" style="496"/>
  </cols>
  <sheetData>
    <row r="1" spans="1:10">
      <c r="A1" s="505" t="s">
        <v>1816</v>
      </c>
      <c r="B1" s="505"/>
      <c r="C1" s="505"/>
    </row>
    <row r="2" spans="1:10">
      <c r="A2" s="1938" t="str">
        <f>+'BS1'!A2</f>
        <v>NIDP DEVELOPERS PRIVATE LIMITED</v>
      </c>
      <c r="B2" s="1938"/>
      <c r="C2" s="1938"/>
      <c r="D2" s="1938"/>
      <c r="E2" s="1938"/>
      <c r="F2" s="1938"/>
      <c r="G2" s="1938"/>
      <c r="H2" s="1938"/>
      <c r="I2" s="1938"/>
    </row>
    <row r="3" spans="1:10">
      <c r="A3" s="506" t="s">
        <v>708</v>
      </c>
      <c r="B3" s="506"/>
      <c r="C3" s="506"/>
      <c r="D3" s="506"/>
      <c r="E3" s="506"/>
      <c r="F3" s="506"/>
      <c r="G3" s="506"/>
      <c r="H3" s="506"/>
      <c r="I3" s="506"/>
      <c r="J3" s="507"/>
    </row>
    <row r="4" spans="1:10">
      <c r="A4" s="508"/>
      <c r="B4" s="508"/>
      <c r="C4" s="508"/>
      <c r="D4" s="508"/>
      <c r="E4" s="508"/>
      <c r="F4" s="508"/>
      <c r="G4" s="508"/>
      <c r="H4" s="508"/>
      <c r="I4" s="508"/>
      <c r="J4" s="509"/>
    </row>
    <row r="5" spans="1:10">
      <c r="A5" s="1939" t="s">
        <v>10</v>
      </c>
      <c r="B5" s="1942" t="s">
        <v>621</v>
      </c>
      <c r="C5" s="1943"/>
      <c r="D5" s="1943"/>
      <c r="E5" s="1943"/>
      <c r="F5" s="1944"/>
      <c r="G5" s="1945" t="s">
        <v>336</v>
      </c>
      <c r="H5" s="1945"/>
      <c r="I5" s="510" t="s">
        <v>344</v>
      </c>
      <c r="J5" s="510" t="s">
        <v>739</v>
      </c>
    </row>
    <row r="6" spans="1:10" ht="20.25" customHeight="1">
      <c r="A6" s="1940"/>
      <c r="B6" s="491" t="s">
        <v>345</v>
      </c>
      <c r="C6" s="491" t="s">
        <v>339</v>
      </c>
      <c r="D6" s="491" t="s">
        <v>340</v>
      </c>
      <c r="E6" s="491" t="s">
        <v>341</v>
      </c>
      <c r="F6" s="491" t="s">
        <v>342</v>
      </c>
      <c r="G6" s="1946" t="s">
        <v>343</v>
      </c>
      <c r="H6" s="1947"/>
      <c r="I6" s="491" t="s">
        <v>1442</v>
      </c>
      <c r="J6" s="491" t="s">
        <v>2024</v>
      </c>
    </row>
    <row r="7" spans="1:10" ht="26.25">
      <c r="A7" s="1941"/>
      <c r="B7" s="491" t="s">
        <v>347</v>
      </c>
      <c r="C7" s="491" t="s">
        <v>347</v>
      </c>
      <c r="D7" s="491" t="s">
        <v>347</v>
      </c>
      <c r="E7" s="491" t="s">
        <v>347</v>
      </c>
      <c r="F7" s="491" t="s">
        <v>347</v>
      </c>
      <c r="G7" s="511" t="s">
        <v>337</v>
      </c>
      <c r="H7" s="492" t="s">
        <v>338</v>
      </c>
      <c r="I7" s="511" t="s">
        <v>346</v>
      </c>
      <c r="J7" s="510" t="s">
        <v>183</v>
      </c>
    </row>
    <row r="8" spans="1:10">
      <c r="A8" s="823" t="s">
        <v>166</v>
      </c>
      <c r="B8" s="824">
        <v>121.1</v>
      </c>
      <c r="C8" s="825">
        <v>119.2</v>
      </c>
      <c r="D8" s="826">
        <v>132</v>
      </c>
      <c r="E8" s="827">
        <v>152.30000000000001</v>
      </c>
      <c r="F8" s="827">
        <v>151.1</v>
      </c>
      <c r="G8" s="820"/>
      <c r="H8" s="827">
        <v>152.9</v>
      </c>
      <c r="I8" s="820"/>
      <c r="J8" s="822"/>
    </row>
    <row r="9" spans="1:10">
      <c r="A9" s="823" t="s">
        <v>167</v>
      </c>
      <c r="B9" s="824">
        <v>121.6</v>
      </c>
      <c r="C9" s="825">
        <v>117.5</v>
      </c>
      <c r="D9" s="826">
        <v>132.9</v>
      </c>
      <c r="E9" s="827">
        <v>155</v>
      </c>
      <c r="F9" s="827">
        <v>149.4</v>
      </c>
      <c r="G9" s="820"/>
      <c r="H9" s="827">
        <v>153.5</v>
      </c>
      <c r="I9" s="820"/>
      <c r="J9" s="822"/>
    </row>
    <row r="10" spans="1:10">
      <c r="A10" s="823" t="s">
        <v>168</v>
      </c>
      <c r="B10" s="824">
        <v>121.5</v>
      </c>
      <c r="C10" s="825">
        <v>119.3</v>
      </c>
      <c r="D10" s="826">
        <v>133.69999999999999</v>
      </c>
      <c r="E10" s="827">
        <v>155.4</v>
      </c>
      <c r="F10" s="827">
        <v>148.9</v>
      </c>
      <c r="G10" s="820"/>
      <c r="H10" s="827">
        <v>154</v>
      </c>
      <c r="I10" s="820"/>
      <c r="J10" s="822"/>
    </row>
    <row r="11" spans="1:10">
      <c r="A11" s="823" t="s">
        <v>169</v>
      </c>
      <c r="B11" s="824">
        <v>121.3</v>
      </c>
      <c r="C11" s="825">
        <v>121</v>
      </c>
      <c r="D11" s="826">
        <v>135</v>
      </c>
      <c r="E11" s="827">
        <v>154</v>
      </c>
      <c r="F11" s="827">
        <v>152.1</v>
      </c>
      <c r="G11" s="820"/>
      <c r="H11" s="827">
        <v>155.30000000000001</v>
      </c>
      <c r="I11" s="820"/>
      <c r="J11" s="822"/>
    </row>
    <row r="12" spans="1:10">
      <c r="A12" s="823" t="s">
        <v>170</v>
      </c>
      <c r="B12" s="824">
        <v>121.5</v>
      </c>
      <c r="C12" s="825">
        <v>122</v>
      </c>
      <c r="D12" s="826">
        <v>136.19999999999999</v>
      </c>
      <c r="E12" s="827">
        <v>153.19999999999999</v>
      </c>
      <c r="F12" s="827">
        <v>152.5</v>
      </c>
      <c r="G12" s="820"/>
      <c r="H12" s="827">
        <v>154.4</v>
      </c>
      <c r="I12" s="820"/>
      <c r="J12" s="822"/>
    </row>
    <row r="13" spans="1:10">
      <c r="A13" s="823" t="s">
        <v>171</v>
      </c>
      <c r="B13" s="824">
        <v>121.3</v>
      </c>
      <c r="C13" s="825">
        <v>122.9</v>
      </c>
      <c r="D13" s="826">
        <v>137.4</v>
      </c>
      <c r="E13" s="827">
        <v>151.9</v>
      </c>
      <c r="F13" s="827">
        <v>151.80000000000001</v>
      </c>
      <c r="G13" s="820"/>
      <c r="H13" s="827">
        <v>154.69999999999999</v>
      </c>
      <c r="I13" s="820"/>
      <c r="J13" s="822"/>
    </row>
    <row r="14" spans="1:10">
      <c r="A14" s="823" t="s">
        <v>176</v>
      </c>
      <c r="B14" s="824">
        <v>122</v>
      </c>
      <c r="C14" s="825">
        <v>123.6</v>
      </c>
      <c r="D14" s="826">
        <v>140.69999999999999</v>
      </c>
      <c r="E14" s="827">
        <v>152.9</v>
      </c>
      <c r="F14" s="827">
        <v>152.5</v>
      </c>
      <c r="G14" s="820"/>
      <c r="H14" s="827">
        <v>156.69999999999999</v>
      </c>
      <c r="I14" s="820"/>
      <c r="J14" s="822"/>
    </row>
    <row r="15" spans="1:10">
      <c r="A15" s="823" t="s">
        <v>172</v>
      </c>
      <c r="B15" s="824">
        <v>122.3</v>
      </c>
      <c r="C15" s="825">
        <v>125.1</v>
      </c>
      <c r="D15" s="826">
        <v>143.69999999999999</v>
      </c>
      <c r="E15" s="827">
        <v>152.5</v>
      </c>
      <c r="F15" s="827">
        <v>153.1</v>
      </c>
      <c r="G15" s="820"/>
      <c r="H15" s="827">
        <v>156.4</v>
      </c>
      <c r="I15" s="820"/>
      <c r="J15" s="822"/>
    </row>
    <row r="16" spans="1:10">
      <c r="A16" s="823" t="s">
        <v>173</v>
      </c>
      <c r="B16" s="824">
        <v>123</v>
      </c>
      <c r="C16" s="825">
        <v>125.4</v>
      </c>
      <c r="D16" s="826">
        <v>143.30000000000001</v>
      </c>
      <c r="E16" s="827">
        <v>150.5</v>
      </c>
      <c r="F16" s="827">
        <v>151.80000000000001</v>
      </c>
      <c r="G16" s="820"/>
      <c r="H16" s="827">
        <v>155.69999999999999</v>
      </c>
      <c r="I16" s="820"/>
      <c r="J16" s="822"/>
    </row>
    <row r="17" spans="1:10">
      <c r="A17" s="823" t="s">
        <v>175</v>
      </c>
      <c r="B17" s="824">
        <v>123.4</v>
      </c>
      <c r="C17" s="825">
        <v>126.5</v>
      </c>
      <c r="D17" s="826">
        <v>143.80000000000001</v>
      </c>
      <c r="E17" s="827">
        <v>150.69999999999999</v>
      </c>
      <c r="F17" s="827">
        <v>151.19999999999999</v>
      </c>
      <c r="G17" s="820"/>
      <c r="H17" s="827">
        <v>155</v>
      </c>
      <c r="I17" s="820"/>
      <c r="J17" s="822"/>
    </row>
    <row r="18" spans="1:10">
      <c r="A18" s="823" t="s">
        <v>174</v>
      </c>
      <c r="B18" s="824">
        <v>122.2</v>
      </c>
      <c r="C18" s="825">
        <v>128.1</v>
      </c>
      <c r="D18" s="826">
        <v>145.30000000000001</v>
      </c>
      <c r="E18" s="827">
        <v>150.9</v>
      </c>
      <c r="F18" s="827">
        <v>151.19999999999999</v>
      </c>
      <c r="G18" s="820"/>
      <c r="H18" s="827">
        <v>154.9</v>
      </c>
      <c r="I18" s="820"/>
      <c r="J18" s="822"/>
    </row>
    <row r="19" spans="1:10">
      <c r="A19" s="823" t="s">
        <v>177</v>
      </c>
      <c r="B19" s="824">
        <v>120.4</v>
      </c>
      <c r="C19" s="825">
        <v>129.9</v>
      </c>
      <c r="D19" s="826">
        <v>148.9</v>
      </c>
      <c r="E19" s="827">
        <v>151</v>
      </c>
      <c r="F19" s="827">
        <v>151.4</v>
      </c>
      <c r="G19" s="820"/>
      <c r="H19" s="827">
        <v>154.80000000000001</v>
      </c>
      <c r="I19" s="820"/>
      <c r="J19" s="822"/>
    </row>
    <row r="20" spans="1:10">
      <c r="A20" s="818"/>
      <c r="B20" s="819"/>
      <c r="C20" s="819"/>
      <c r="D20" s="819"/>
      <c r="E20" s="819"/>
      <c r="F20" s="819"/>
      <c r="G20" s="820"/>
      <c r="H20" s="821"/>
      <c r="I20" s="820"/>
      <c r="J20" s="822"/>
    </row>
    <row r="21" spans="1:10">
      <c r="A21" s="512" t="s">
        <v>631</v>
      </c>
      <c r="B21" s="828">
        <f>AVERAGE(B8:B19)</f>
        <v>121.80000000000001</v>
      </c>
      <c r="C21" s="828">
        <f t="shared" ref="C21:H21" si="0">AVERAGE(C8:C19)</f>
        <v>123.375</v>
      </c>
      <c r="D21" s="828">
        <f t="shared" si="0"/>
        <v>139.40833333333333</v>
      </c>
      <c r="E21" s="828">
        <f t="shared" si="0"/>
        <v>152.52500000000001</v>
      </c>
      <c r="F21" s="828">
        <f t="shared" si="0"/>
        <v>151.41666666666666</v>
      </c>
      <c r="G21" s="569"/>
      <c r="H21" s="828">
        <f t="shared" si="0"/>
        <v>154.85833333333335</v>
      </c>
      <c r="I21" s="570"/>
      <c r="J21" s="569"/>
    </row>
    <row r="22" spans="1:10">
      <c r="A22" s="513" t="s">
        <v>1417</v>
      </c>
      <c r="B22" s="571"/>
      <c r="C22" s="829">
        <f>IFERROR((C21-B21)/B21,0)</f>
        <v>1.2931034482758527E-2</v>
      </c>
      <c r="D22" s="829">
        <f t="shared" ref="D22:F22" si="1">IFERROR((D21-C21)/C21,0)</f>
        <v>0.12995609591354271</v>
      </c>
      <c r="E22" s="829">
        <f t="shared" si="1"/>
        <v>9.4088110466854016E-2</v>
      </c>
      <c r="F22" s="829">
        <f t="shared" si="1"/>
        <v>-7.2665683221330825E-3</v>
      </c>
      <c r="G22" s="571"/>
      <c r="H22" s="829">
        <f>IFERROR((H21-F21)/F21,0)</f>
        <v>2.2729774353329828E-2</v>
      </c>
      <c r="I22" s="829">
        <f>AVERAGE(E22,F22,H22)</f>
        <v>3.6517105499350257E-2</v>
      </c>
      <c r="J22" s="829">
        <f>+I22</f>
        <v>3.6517105499350257E-2</v>
      </c>
    </row>
    <row r="23" spans="1:10">
      <c r="A23" s="514"/>
      <c r="B23" s="514"/>
      <c r="C23" s="514"/>
      <c r="D23" s="515"/>
      <c r="E23" s="515"/>
      <c r="F23" s="515"/>
      <c r="G23" s="513"/>
      <c r="H23" s="513"/>
      <c r="I23" s="513"/>
      <c r="J23" s="513"/>
    </row>
    <row r="24" spans="1:10">
      <c r="A24" s="496" t="s">
        <v>221</v>
      </c>
    </row>
    <row r="25" spans="1:10">
      <c r="A25" s="496" t="s">
        <v>632</v>
      </c>
      <c r="I25" s="647"/>
    </row>
    <row r="27" spans="1:10">
      <c r="A27" s="830" t="s">
        <v>2083</v>
      </c>
      <c r="B27" s="831" t="s">
        <v>2084</v>
      </c>
      <c r="C27" s="831"/>
      <c r="D27" s="831"/>
      <c r="E27" s="831"/>
    </row>
  </sheetData>
  <mergeCells count="5">
    <mergeCell ref="A2:I2"/>
    <mergeCell ref="A5:A7"/>
    <mergeCell ref="B5:F5"/>
    <mergeCell ref="G5:H5"/>
    <mergeCell ref="G6:H6"/>
  </mergeCells>
  <hyperlinks>
    <hyperlink ref="B27" r:id="rId1" xr:uid="{3992675D-972E-462E-A02E-7A6B301941A6}"/>
  </hyperlinks>
  <printOptions horizontalCentered="1"/>
  <pageMargins left="0.70866141732283472" right="0.70866141732283472" top="0.74803149606299213" bottom="0.74803149606299213" header="0.31496062992125984" footer="0.31496062992125984"/>
  <pageSetup paperSize="5" scale="120" orientation="landscape"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FFFF"/>
  </sheetPr>
  <dimension ref="A1:K15"/>
  <sheetViews>
    <sheetView showGridLines="0" view="pageBreakPreview" zoomScale="70" zoomScaleNormal="82" zoomScaleSheetLayoutView="70" workbookViewId="0">
      <pane xSplit="2" ySplit="8" topLeftCell="C9" activePane="bottomRight" state="frozen"/>
      <selection activeCell="T96" sqref="T96"/>
      <selection pane="topRight" activeCell="T96" sqref="T96"/>
      <selection pane="bottomLeft" activeCell="T96" sqref="T96"/>
      <selection pane="bottomRight" activeCell="J14" sqref="J14"/>
    </sheetView>
  </sheetViews>
  <sheetFormatPr defaultColWidth="9.19921875" defaultRowHeight="14.25"/>
  <cols>
    <col min="1" max="1" width="4.19921875" style="223" customWidth="1"/>
    <col min="2" max="2" width="23.19921875" style="223" customWidth="1"/>
    <col min="3" max="6" width="11.796875" style="223" bestFit="1" customWidth="1"/>
    <col min="7" max="7" width="14.46484375" style="223" bestFit="1" customWidth="1"/>
    <col min="8" max="8" width="14.796875" style="663" customWidth="1"/>
    <col min="9" max="10" width="16" style="223" customWidth="1"/>
    <col min="11" max="11" width="15.33203125" style="223" bestFit="1" customWidth="1"/>
    <col min="12" max="16384" width="9.19921875" style="223"/>
  </cols>
  <sheetData>
    <row r="1" spans="1:11">
      <c r="A1" s="222"/>
    </row>
    <row r="2" spans="1:11">
      <c r="A2" s="1597" t="s">
        <v>1817</v>
      </c>
      <c r="B2" s="1597"/>
      <c r="C2" s="9"/>
      <c r="D2" s="9"/>
      <c r="E2" s="9"/>
      <c r="F2" s="9"/>
      <c r="G2" s="9"/>
      <c r="H2" s="652"/>
      <c r="I2" s="9"/>
      <c r="J2" s="9"/>
    </row>
    <row r="3" spans="1:11">
      <c r="A3" s="1487" t="str">
        <f>+'BS1'!A2</f>
        <v>NIDP DEVELOPERS PRIVATE LIMITED</v>
      </c>
      <c r="B3" s="1487"/>
      <c r="C3" s="1487"/>
      <c r="D3" s="1487"/>
      <c r="E3" s="1487"/>
      <c r="F3" s="1487"/>
      <c r="G3" s="1487"/>
      <c r="H3" s="1487"/>
      <c r="I3" s="1487"/>
      <c r="J3" s="1487"/>
    </row>
    <row r="4" spans="1:11" s="224" customFormat="1">
      <c r="A4" s="279" t="s">
        <v>1588</v>
      </c>
      <c r="B4" s="279"/>
      <c r="C4" s="279"/>
      <c r="D4" s="279"/>
      <c r="E4" s="279"/>
      <c r="F4" s="279"/>
      <c r="G4" s="279"/>
      <c r="H4" s="664"/>
      <c r="I4" s="279"/>
      <c r="J4" s="279"/>
    </row>
    <row r="5" spans="1:11" s="224" customFormat="1">
      <c r="A5" s="225"/>
      <c r="B5" s="226"/>
      <c r="C5" s="226"/>
      <c r="D5" s="226"/>
      <c r="E5" s="226"/>
      <c r="F5" s="226"/>
      <c r="G5" s="226"/>
      <c r="H5" s="665"/>
      <c r="I5" s="226"/>
      <c r="J5" s="226"/>
      <c r="K5" s="224" t="s">
        <v>2052</v>
      </c>
    </row>
    <row r="6" spans="1:11" s="224" customFormat="1">
      <c r="A6" s="1954" t="s">
        <v>625</v>
      </c>
      <c r="B6" s="1954" t="s">
        <v>10</v>
      </c>
      <c r="C6" s="1955" t="s">
        <v>1585</v>
      </c>
      <c r="D6" s="1956"/>
      <c r="E6" s="1956"/>
      <c r="F6" s="1956"/>
      <c r="G6" s="1957"/>
      <c r="H6" s="1958" t="s">
        <v>1581</v>
      </c>
      <c r="I6" s="228" t="s">
        <v>1583</v>
      </c>
      <c r="J6" s="228" t="s">
        <v>1583</v>
      </c>
      <c r="K6" s="228" t="s">
        <v>1586</v>
      </c>
    </row>
    <row r="7" spans="1:11" s="224" customFormat="1">
      <c r="A7" s="1954"/>
      <c r="B7" s="1954"/>
      <c r="C7" s="229" t="s">
        <v>339</v>
      </c>
      <c r="D7" s="229" t="s">
        <v>340</v>
      </c>
      <c r="E7" s="229" t="s">
        <v>341</v>
      </c>
      <c r="F7" s="229" t="s">
        <v>342</v>
      </c>
      <c r="G7" s="229" t="s">
        <v>343</v>
      </c>
      <c r="H7" s="1959"/>
      <c r="I7" s="228" t="s">
        <v>342</v>
      </c>
      <c r="J7" s="228" t="s">
        <v>343</v>
      </c>
      <c r="K7" s="228"/>
    </row>
    <row r="8" spans="1:11" s="224" customFormat="1" ht="42.75">
      <c r="A8" s="1954"/>
      <c r="B8" s="1954"/>
      <c r="C8" s="230" t="s">
        <v>624</v>
      </c>
      <c r="D8" s="230" t="s">
        <v>623</v>
      </c>
      <c r="E8" s="230" t="s">
        <v>622</v>
      </c>
      <c r="F8" s="230" t="s">
        <v>626</v>
      </c>
      <c r="G8" s="230" t="s">
        <v>627</v>
      </c>
      <c r="H8" s="229" t="s">
        <v>1582</v>
      </c>
      <c r="I8" s="229" t="s">
        <v>24</v>
      </c>
      <c r="J8" s="229" t="s">
        <v>26</v>
      </c>
      <c r="K8" s="229" t="s">
        <v>1584</v>
      </c>
    </row>
    <row r="9" spans="1:11" s="224" customFormat="1">
      <c r="A9" s="231">
        <v>1</v>
      </c>
      <c r="B9" s="232" t="s">
        <v>45</v>
      </c>
      <c r="C9" s="1948" t="s">
        <v>2062</v>
      </c>
      <c r="D9" s="1949"/>
      <c r="E9" s="1950"/>
      <c r="F9" s="841">
        <f>+'F21_O&amp;M_EE (A)'!F31</f>
        <v>0</v>
      </c>
      <c r="G9" s="838">
        <f>+'F21_O&amp;M_EE (A)'!I31</f>
        <v>0</v>
      </c>
      <c r="H9" s="839">
        <f>AVERAGE(F9:G9)</f>
        <v>0</v>
      </c>
      <c r="I9" s="842">
        <f>+'F17_O&amp;M_CPI'!F22</f>
        <v>5.1862209228422683E-2</v>
      </c>
      <c r="J9" s="842">
        <f>+'F17_O&amp;M_CPI'!H22</f>
        <v>3.3836858006041998E-2</v>
      </c>
      <c r="K9" s="840">
        <f>+G9</f>
        <v>0</v>
      </c>
    </row>
    <row r="10" spans="1:11" s="224" customFormat="1">
      <c r="A10" s="231">
        <f>A9+1</f>
        <v>2</v>
      </c>
      <c r="B10" s="232" t="s">
        <v>1453</v>
      </c>
      <c r="C10" s="1951"/>
      <c r="D10" s="1952"/>
      <c r="E10" s="1953"/>
      <c r="F10" s="841">
        <f>+'F23_O&amp;M_A&amp;G'!F46</f>
        <v>0</v>
      </c>
      <c r="G10" s="839">
        <f>+'F23_O&amp;M_A&amp;G'!H46</f>
        <v>3.1162040363150689</v>
      </c>
      <c r="H10" s="839">
        <f>AVERAGE(F10:G10)</f>
        <v>1.5581020181575345</v>
      </c>
      <c r="I10" s="842">
        <f>+'F18_O&amp;M_WPI'!F22</f>
        <v>-7.2665683221330825E-3</v>
      </c>
      <c r="J10" s="842">
        <f>+'F18_O&amp;M_WPI'!H22</f>
        <v>2.2729774353329828E-2</v>
      </c>
      <c r="K10" s="840">
        <f>+G10</f>
        <v>3.1162040363150689</v>
      </c>
    </row>
    <row r="11" spans="1:11" s="224" customFormat="1">
      <c r="A11" s="227" t="s">
        <v>1587</v>
      </c>
      <c r="C11" s="227"/>
      <c r="D11" s="227"/>
      <c r="E11" s="227"/>
      <c r="F11" s="227"/>
      <c r="G11" s="227"/>
      <c r="H11" s="351"/>
      <c r="I11" s="227"/>
      <c r="J11" s="227"/>
    </row>
    <row r="12" spans="1:11" s="224" customFormat="1">
      <c r="A12" s="233"/>
      <c r="B12" s="227"/>
      <c r="C12" s="227"/>
      <c r="D12" s="227"/>
      <c r="E12" s="227"/>
      <c r="F12" s="227"/>
      <c r="G12" s="227"/>
      <c r="H12" s="351"/>
      <c r="I12" s="227"/>
      <c r="J12" s="227"/>
    </row>
    <row r="13" spans="1:11">
      <c r="A13" s="238"/>
      <c r="B13" s="239"/>
      <c r="C13" s="239"/>
      <c r="D13" s="239"/>
      <c r="E13" s="239"/>
      <c r="F13" s="237"/>
      <c r="G13" s="237"/>
      <c r="H13" s="666"/>
      <c r="I13" s="237"/>
      <c r="J13" s="237"/>
    </row>
    <row r="14" spans="1:11">
      <c r="A14" s="238"/>
      <c r="B14" s="240"/>
      <c r="C14" s="240"/>
      <c r="D14" s="240"/>
      <c r="E14" s="240"/>
      <c r="F14" s="237"/>
      <c r="G14" s="237"/>
      <c r="H14" s="666"/>
      <c r="I14" s="237"/>
      <c r="J14" s="237"/>
    </row>
    <row r="15" spans="1:11">
      <c r="A15" s="227"/>
      <c r="B15" s="227"/>
      <c r="C15" s="227"/>
      <c r="D15" s="227"/>
      <c r="E15" s="227"/>
      <c r="F15" s="227"/>
      <c r="G15" s="227"/>
      <c r="H15" s="351"/>
      <c r="I15" s="227"/>
      <c r="J15" s="227"/>
    </row>
  </sheetData>
  <mergeCells count="7">
    <mergeCell ref="C9:E10"/>
    <mergeCell ref="A2:B2"/>
    <mergeCell ref="A3:J3"/>
    <mergeCell ref="A6:A8"/>
    <mergeCell ref="B6:B8"/>
    <mergeCell ref="C6:G6"/>
    <mergeCell ref="H6:H7"/>
  </mergeCells>
  <printOptions horizontalCentered="1"/>
  <pageMargins left="0.19685039370078741" right="0.23622047244094491" top="0.9055118110236221" bottom="0.62992125984251968" header="0.23622047244094491" footer="0.23622047244094491"/>
  <pageSetup paperSize="5" scale="114"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FFFF"/>
    <pageSetUpPr fitToPage="1"/>
  </sheetPr>
  <dimension ref="A1:F70"/>
  <sheetViews>
    <sheetView view="pageBreakPreview" zoomScale="112" zoomScaleNormal="90" zoomScaleSheetLayoutView="112" workbookViewId="0">
      <selection activeCell="F35" sqref="F35"/>
    </sheetView>
  </sheetViews>
  <sheetFormatPr defaultColWidth="9.19921875" defaultRowHeight="18" customHeight="1"/>
  <cols>
    <col min="1" max="1" width="12.46484375" customWidth="1"/>
    <col min="2" max="2" width="48.265625" style="184" customWidth="1"/>
    <col min="3" max="3" width="16.86328125" style="183" customWidth="1"/>
    <col min="4" max="4" width="18.796875" style="45" customWidth="1"/>
  </cols>
  <sheetData>
    <row r="1" spans="1:6" ht="18" customHeight="1">
      <c r="A1" s="14" t="s">
        <v>1786</v>
      </c>
    </row>
    <row r="2" spans="1:6" ht="18" customHeight="1">
      <c r="A2" s="1487" t="str">
        <f>'BS1'!A2:C2</f>
        <v>NIDP DEVELOPERS PRIVATE LIMITED</v>
      </c>
      <c r="B2" s="1487"/>
      <c r="C2" s="1487"/>
    </row>
    <row r="3" spans="1:6" ht="18" customHeight="1">
      <c r="A3" s="173" t="s">
        <v>150</v>
      </c>
      <c r="B3" s="173"/>
      <c r="C3" s="173"/>
      <c r="D3" s="55"/>
    </row>
    <row r="4" spans="1:6" ht="18" customHeight="1">
      <c r="A4" s="3"/>
      <c r="B4" s="145"/>
      <c r="C4" s="46"/>
      <c r="D4" s="646" t="s">
        <v>93</v>
      </c>
    </row>
    <row r="5" spans="1:6" ht="18" customHeight="1">
      <c r="A5" s="1481" t="s">
        <v>44</v>
      </c>
      <c r="B5" s="1488" t="s">
        <v>10</v>
      </c>
      <c r="C5" s="152" t="s">
        <v>507</v>
      </c>
      <c r="D5" s="152" t="s">
        <v>1454</v>
      </c>
    </row>
    <row r="6" spans="1:6" ht="18" customHeight="1">
      <c r="A6" s="1481"/>
      <c r="B6" s="1488"/>
      <c r="C6" s="146" t="str">
        <f>+'BS1'!C6</f>
        <v>FY 2023-24</v>
      </c>
      <c r="D6" s="146" t="str">
        <f>+'BS1'!D6</f>
        <v>FY 2024-25</v>
      </c>
    </row>
    <row r="7" spans="1:6" ht="18" customHeight="1">
      <c r="A7" s="1490" t="s">
        <v>359</v>
      </c>
      <c r="B7" s="1491"/>
      <c r="C7" s="194"/>
      <c r="D7" s="98"/>
    </row>
    <row r="8" spans="1:6" ht="18" customHeight="1">
      <c r="A8" s="185" t="s">
        <v>360</v>
      </c>
      <c r="B8" s="74" t="s">
        <v>361</v>
      </c>
      <c r="C8" s="1494" t="s">
        <v>2062</v>
      </c>
      <c r="D8" s="1009">
        <f>SUM(D9:D23)</f>
        <v>51.621678948268816</v>
      </c>
    </row>
    <row r="9" spans="1:6" ht="18" customHeight="1">
      <c r="A9" s="186"/>
      <c r="B9" s="137" t="s">
        <v>362</v>
      </c>
      <c r="C9" s="1495"/>
      <c r="D9" s="1010">
        <f>+(F24_Dep!C47-F24_Dep!H47)-(F24_Dep!C50-F24_Dep!H50)</f>
        <v>35.294458943117299</v>
      </c>
      <c r="F9" s="365"/>
    </row>
    <row r="10" spans="1:6" ht="18" customHeight="1">
      <c r="A10" s="186"/>
      <c r="B10" s="137" t="s">
        <v>363</v>
      </c>
      <c r="C10" s="1495"/>
      <c r="D10" s="1010">
        <f>+F15_CAP_CWIP!F11</f>
        <v>16.325976505151516</v>
      </c>
    </row>
    <row r="11" spans="1:6" ht="14.25">
      <c r="A11" s="186"/>
      <c r="B11" s="137" t="s">
        <v>364</v>
      </c>
      <c r="C11" s="1495"/>
      <c r="D11" s="1010"/>
    </row>
    <row r="12" spans="1:6" ht="14.25">
      <c r="A12" s="186"/>
      <c r="B12" s="137" t="s">
        <v>365</v>
      </c>
      <c r="C12" s="1495"/>
      <c r="D12" s="1010"/>
    </row>
    <row r="13" spans="1:6" ht="18" customHeight="1">
      <c r="A13" s="186"/>
      <c r="B13" s="137" t="s">
        <v>400</v>
      </c>
      <c r="C13" s="1495"/>
      <c r="D13" s="1010"/>
    </row>
    <row r="14" spans="1:6" ht="18" customHeight="1">
      <c r="A14" s="186"/>
      <c r="B14" s="137" t="s">
        <v>366</v>
      </c>
      <c r="C14" s="1495"/>
      <c r="D14" s="1010"/>
    </row>
    <row r="15" spans="1:6" ht="14.25" customHeight="1">
      <c r="A15" s="186"/>
      <c r="B15" s="187" t="s">
        <v>367</v>
      </c>
      <c r="C15" s="1495"/>
      <c r="D15" s="1010"/>
    </row>
    <row r="16" spans="1:6" ht="18" customHeight="1">
      <c r="A16" s="186"/>
      <c r="B16" s="137" t="s">
        <v>368</v>
      </c>
      <c r="C16" s="1495"/>
      <c r="D16" s="1010"/>
    </row>
    <row r="17" spans="1:4" ht="18" customHeight="1">
      <c r="A17" s="186"/>
      <c r="B17" s="137" t="s">
        <v>369</v>
      </c>
      <c r="C17" s="1495"/>
      <c r="D17" s="1010"/>
    </row>
    <row r="18" spans="1:4" ht="18" customHeight="1">
      <c r="A18" s="186"/>
      <c r="B18" s="137" t="s">
        <v>370</v>
      </c>
      <c r="C18" s="1495"/>
      <c r="D18" s="1010"/>
    </row>
    <row r="19" spans="1:4" ht="14.25">
      <c r="A19" s="186"/>
      <c r="B19" s="137" t="s">
        <v>371</v>
      </c>
      <c r="C19" s="1495"/>
      <c r="D19" s="1012"/>
    </row>
    <row r="20" spans="1:4" ht="14.25">
      <c r="A20" s="186"/>
      <c r="B20" s="137" t="s">
        <v>372</v>
      </c>
      <c r="C20" s="1495"/>
      <c r="D20" s="98"/>
    </row>
    <row r="21" spans="1:4" ht="14.25">
      <c r="A21" s="186"/>
      <c r="B21" s="137" t="s">
        <v>373</v>
      </c>
      <c r="C21" s="1495"/>
      <c r="D21" s="98"/>
    </row>
    <row r="22" spans="1:4" ht="14.25">
      <c r="A22" s="186"/>
      <c r="B22" s="137" t="s">
        <v>2030</v>
      </c>
      <c r="C22" s="1495"/>
      <c r="D22" s="1013">
        <f>+[2]BS!$G$15/100</f>
        <v>1.2435E-3</v>
      </c>
    </row>
    <row r="23" spans="1:4" ht="18" customHeight="1">
      <c r="A23" s="186"/>
      <c r="B23" s="137" t="s">
        <v>2031</v>
      </c>
      <c r="C23" s="1495"/>
      <c r="D23" s="1013"/>
    </row>
    <row r="24" spans="1:4" ht="18" customHeight="1">
      <c r="A24" s="188"/>
      <c r="B24" s="130"/>
      <c r="C24" s="1495"/>
      <c r="D24" s="98"/>
    </row>
    <row r="25" spans="1:4" ht="18" customHeight="1">
      <c r="A25" s="185" t="s">
        <v>374</v>
      </c>
      <c r="B25" s="74" t="s">
        <v>375</v>
      </c>
      <c r="C25" s="1495"/>
      <c r="D25" s="1009">
        <f>SUM(D26:D35)</f>
        <v>10.544289957687496</v>
      </c>
    </row>
    <row r="26" spans="1:4" ht="18" customHeight="1">
      <c r="A26" s="186"/>
      <c r="B26" s="137" t="s">
        <v>376</v>
      </c>
      <c r="C26" s="1495"/>
      <c r="D26" s="1011">
        <f>+'F27_Work Cap'!F9</f>
        <v>0</v>
      </c>
    </row>
    <row r="27" spans="1:4" ht="18" customHeight="1">
      <c r="A27" s="186"/>
      <c r="B27" s="137" t="s">
        <v>377</v>
      </c>
      <c r="C27" s="1495"/>
      <c r="D27" s="1011"/>
    </row>
    <row r="28" spans="1:4" ht="18" customHeight="1">
      <c r="A28" s="186"/>
      <c r="B28" s="137" t="s">
        <v>369</v>
      </c>
      <c r="C28" s="1495"/>
      <c r="D28" s="1011"/>
    </row>
    <row r="29" spans="1:4" ht="18" customHeight="1">
      <c r="A29" s="186"/>
      <c r="B29" s="137" t="s">
        <v>378</v>
      </c>
      <c r="C29" s="1495"/>
      <c r="D29" s="1027">
        <f>+F31_Recievables!F13</f>
        <v>2.7772032000000006</v>
      </c>
    </row>
    <row r="30" spans="1:4" ht="18" customHeight="1">
      <c r="A30" s="186"/>
      <c r="B30" s="137" t="s">
        <v>379</v>
      </c>
      <c r="C30" s="1495"/>
      <c r="D30" s="1027">
        <f>+'BS3'!E62</f>
        <v>5.8969430916874961</v>
      </c>
    </row>
    <row r="31" spans="1:4" ht="33" customHeight="1">
      <c r="A31" s="186"/>
      <c r="B31" s="187" t="s">
        <v>380</v>
      </c>
      <c r="C31" s="1495"/>
      <c r="D31" s="1017">
        <v>0</v>
      </c>
    </row>
    <row r="32" spans="1:4" ht="18" customHeight="1">
      <c r="A32" s="186"/>
      <c r="B32" s="137" t="s">
        <v>381</v>
      </c>
      <c r="C32" s="1495"/>
      <c r="D32" s="1017">
        <v>0</v>
      </c>
    </row>
    <row r="33" spans="1:5" ht="18" customHeight="1">
      <c r="A33" s="186"/>
      <c r="B33" s="137" t="s">
        <v>382</v>
      </c>
      <c r="C33" s="1495"/>
      <c r="D33" s="1027">
        <v>0</v>
      </c>
    </row>
    <row r="34" spans="1:5" ht="16.5" customHeight="1">
      <c r="A34" s="189"/>
      <c r="B34" s="190" t="s">
        <v>383</v>
      </c>
      <c r="C34" s="1495"/>
      <c r="D34" s="1028"/>
    </row>
    <row r="35" spans="1:5" ht="14.25">
      <c r="A35" s="186"/>
      <c r="B35" s="137" t="s">
        <v>401</v>
      </c>
      <c r="C35" s="1495"/>
      <c r="D35" s="1017">
        <f>+[2]BS!$G$25/100</f>
        <v>1.8701436660000001</v>
      </c>
    </row>
    <row r="36" spans="1:5" ht="18" customHeight="1">
      <c r="A36" s="186"/>
      <c r="B36" s="193"/>
      <c r="C36" s="1495"/>
      <c r="D36" s="1010"/>
    </row>
    <row r="37" spans="1:5" ht="18" customHeight="1">
      <c r="A37" s="1489" t="s">
        <v>408</v>
      </c>
      <c r="B37" s="1489"/>
      <c r="C37" s="1495"/>
      <c r="D37" s="1014">
        <f>SUM(D8,D25)</f>
        <v>62.165968905956312</v>
      </c>
    </row>
    <row r="38" spans="1:5" ht="18" customHeight="1">
      <c r="A38" s="33"/>
      <c r="B38" s="15" t="s">
        <v>404</v>
      </c>
      <c r="C38" s="1495"/>
      <c r="D38" s="1067">
        <f>-'BS1'!D23</f>
        <v>4.0627430066237711</v>
      </c>
    </row>
    <row r="39" spans="1:5" ht="33" customHeight="1">
      <c r="A39" s="33"/>
      <c r="B39" s="15" t="s">
        <v>405</v>
      </c>
      <c r="C39" s="1495"/>
      <c r="D39" s="1015">
        <f>SUM(D37:D38)</f>
        <v>66.228711912580081</v>
      </c>
    </row>
    <row r="40" spans="1:5" ht="18" customHeight="1">
      <c r="A40" s="33"/>
      <c r="B40" s="33"/>
      <c r="C40" s="1495"/>
      <c r="D40" s="98"/>
    </row>
    <row r="41" spans="1:5" ht="14.25">
      <c r="A41" s="1492" t="s">
        <v>384</v>
      </c>
      <c r="B41" s="1493"/>
      <c r="C41" s="1495"/>
      <c r="D41" s="98"/>
    </row>
    <row r="42" spans="1:5" ht="14.25">
      <c r="A42" s="186"/>
      <c r="B42" s="74" t="s">
        <v>385</v>
      </c>
      <c r="C42" s="1495"/>
      <c r="D42" s="1016">
        <f>SUM(D43:D44)</f>
        <v>12.958350873874686</v>
      </c>
    </row>
    <row r="43" spans="1:5" ht="18" customHeight="1">
      <c r="A43" s="186"/>
      <c r="B43" s="137" t="s">
        <v>386</v>
      </c>
      <c r="C43" s="1495"/>
      <c r="D43" s="1017">
        <f>+F26_ROE!I10</f>
        <v>11.077901192354544</v>
      </c>
    </row>
    <row r="44" spans="1:5" ht="18" customHeight="1">
      <c r="A44" s="186"/>
      <c r="B44" s="137" t="s">
        <v>387</v>
      </c>
      <c r="C44" s="1495"/>
      <c r="D44" s="1017">
        <f>+'BS1'!D42</f>
        <v>1.8804496815201421</v>
      </c>
      <c r="E44" t="s">
        <v>335</v>
      </c>
    </row>
    <row r="45" spans="1:5" ht="18" customHeight="1">
      <c r="A45" s="186"/>
      <c r="B45" s="137"/>
      <c r="C45" s="1495"/>
      <c r="D45" s="98"/>
    </row>
    <row r="46" spans="1:5" ht="18" customHeight="1">
      <c r="A46" s="189"/>
      <c r="B46" s="191" t="s">
        <v>388</v>
      </c>
      <c r="C46" s="1495"/>
      <c r="D46" s="1015">
        <f>SUM(D47,D56)</f>
        <v>53.270361038705424</v>
      </c>
    </row>
    <row r="47" spans="1:5" ht="18" customHeight="1">
      <c r="A47" s="186" t="s">
        <v>360</v>
      </c>
      <c r="B47" s="74" t="s">
        <v>389</v>
      </c>
      <c r="C47" s="1495"/>
      <c r="D47" s="1016">
        <f>SUM(D48:D55)</f>
        <v>44.169534255914279</v>
      </c>
    </row>
    <row r="48" spans="1:5" ht="18" customHeight="1">
      <c r="A48" s="186"/>
      <c r="B48" s="137" t="s">
        <v>390</v>
      </c>
      <c r="C48" s="1495"/>
      <c r="D48" s="98"/>
    </row>
    <row r="49" spans="1:4" ht="14.25">
      <c r="A49" s="189"/>
      <c r="B49" s="137" t="s">
        <v>391</v>
      </c>
      <c r="C49" s="1495"/>
      <c r="D49" s="1012">
        <f>+F25_IOL!E12</f>
        <v>24.216557750762764</v>
      </c>
    </row>
    <row r="50" spans="1:4" ht="14.25">
      <c r="A50" s="189"/>
      <c r="B50" s="137" t="s">
        <v>392</v>
      </c>
      <c r="C50" s="1495"/>
      <c r="D50" s="1012"/>
    </row>
    <row r="51" spans="1:4" ht="14.25">
      <c r="A51" s="186"/>
      <c r="B51" s="192" t="s">
        <v>403</v>
      </c>
      <c r="C51" s="1495"/>
      <c r="D51" s="1018">
        <f>+F30A_CSD!F14</f>
        <v>3.6269999999999998</v>
      </c>
    </row>
    <row r="52" spans="1:4" ht="18" customHeight="1">
      <c r="A52" s="186"/>
      <c r="B52" s="137" t="s">
        <v>393</v>
      </c>
      <c r="C52" s="1495"/>
      <c r="D52" s="1010">
        <v>0</v>
      </c>
    </row>
    <row r="53" spans="1:4" ht="18" customHeight="1">
      <c r="A53" s="186"/>
      <c r="B53" s="137" t="s">
        <v>394</v>
      </c>
      <c r="C53" s="1495"/>
      <c r="D53" s="1012"/>
    </row>
    <row r="54" spans="1:4" ht="18" customHeight="1">
      <c r="A54" s="186"/>
      <c r="B54" s="137" t="s">
        <v>406</v>
      </c>
      <c r="C54" s="1495"/>
      <c r="D54" s="98"/>
    </row>
    <row r="55" spans="1:4" ht="18" customHeight="1">
      <c r="A55" s="186"/>
      <c r="B55" s="137" t="s">
        <v>402</v>
      </c>
      <c r="C55" s="1495"/>
      <c r="D55" s="1012">
        <f>+D10</f>
        <v>16.325976505151516</v>
      </c>
    </row>
    <row r="56" spans="1:4" ht="18" customHeight="1">
      <c r="A56" s="186" t="s">
        <v>374</v>
      </c>
      <c r="B56" s="74" t="s">
        <v>395</v>
      </c>
      <c r="C56" s="1495"/>
      <c r="D56" s="1016">
        <f>SUM(D57:D63)</f>
        <v>9.1008267827911435</v>
      </c>
    </row>
    <row r="57" spans="1:4" ht="18" customHeight="1">
      <c r="A57" s="186"/>
      <c r="B57" s="137" t="s">
        <v>390</v>
      </c>
      <c r="C57" s="1495"/>
      <c r="D57" s="98"/>
    </row>
    <row r="58" spans="1:4" ht="18" customHeight="1">
      <c r="A58" s="189"/>
      <c r="B58" s="137" t="s">
        <v>391</v>
      </c>
      <c r="C58" s="1495"/>
      <c r="D58" s="1019">
        <f>+'F27_Work Cap'!E14</f>
        <v>2.1839170287911434</v>
      </c>
    </row>
    <row r="59" spans="1:4" ht="18" customHeight="1">
      <c r="A59" s="189"/>
      <c r="B59" s="137" t="s">
        <v>392</v>
      </c>
      <c r="C59" s="1495"/>
      <c r="D59" s="1019">
        <f>+[3]Financial!$E$106</f>
        <v>6.4684535999999992</v>
      </c>
    </row>
    <row r="60" spans="1:4" ht="18" customHeight="1">
      <c r="A60" s="186"/>
      <c r="B60" s="192" t="s">
        <v>396</v>
      </c>
      <c r="C60" s="1495"/>
      <c r="D60" s="1019">
        <v>0</v>
      </c>
    </row>
    <row r="61" spans="1:4" ht="18" customHeight="1">
      <c r="A61" s="186"/>
      <c r="B61" s="137" t="s">
        <v>397</v>
      </c>
      <c r="C61" s="1495"/>
      <c r="D61" s="1010">
        <v>0</v>
      </c>
    </row>
    <row r="62" spans="1:4" ht="18" customHeight="1">
      <c r="A62" s="186"/>
      <c r="B62" s="137" t="s">
        <v>398</v>
      </c>
      <c r="C62" s="1495"/>
      <c r="D62" s="1010">
        <f>+[2]BS!$G$52/100</f>
        <v>0.44845615400000022</v>
      </c>
    </row>
    <row r="63" spans="1:4" ht="18" customHeight="1">
      <c r="A63" s="186"/>
      <c r="B63" s="137" t="s">
        <v>399</v>
      </c>
      <c r="C63" s="1495"/>
      <c r="D63" s="98"/>
    </row>
    <row r="64" spans="1:4" ht="18" customHeight="1">
      <c r="A64" s="186"/>
      <c r="B64" s="137"/>
      <c r="C64" s="1495"/>
      <c r="D64" s="98"/>
    </row>
    <row r="65" spans="1:6" ht="18" customHeight="1">
      <c r="A65" s="1486" t="s">
        <v>407</v>
      </c>
      <c r="B65" s="1486"/>
      <c r="C65" s="1496"/>
      <c r="D65" s="1020">
        <f>SUM(D42,D46)</f>
        <v>66.22871191258011</v>
      </c>
      <c r="F65" s="716">
        <f>+D65-D39</f>
        <v>0</v>
      </c>
    </row>
    <row r="66" spans="1:6" ht="18" customHeight="1">
      <c r="A66" s="45" t="s">
        <v>75</v>
      </c>
      <c r="B66" s="45" t="s">
        <v>508</v>
      </c>
    </row>
    <row r="67" spans="1:6" ht="18" customHeight="1">
      <c r="C67" s="558"/>
      <c r="D67" s="559"/>
    </row>
    <row r="68" spans="1:6" ht="18" customHeight="1">
      <c r="C68" s="558"/>
      <c r="D68" s="559"/>
    </row>
    <row r="69" spans="1:6" ht="18" customHeight="1">
      <c r="C69" s="558"/>
      <c r="D69" s="559"/>
    </row>
    <row r="70" spans="1:6" ht="18" customHeight="1">
      <c r="C70" s="558"/>
      <c r="D70" s="559"/>
    </row>
  </sheetData>
  <mergeCells count="8">
    <mergeCell ref="A65:B65"/>
    <mergeCell ref="A2:C2"/>
    <mergeCell ref="B5:B6"/>
    <mergeCell ref="A5:A6"/>
    <mergeCell ref="A37:B37"/>
    <mergeCell ref="A7:B7"/>
    <mergeCell ref="A41:B41"/>
    <mergeCell ref="C8:C65"/>
  </mergeCells>
  <printOptions horizontalCentered="1"/>
  <pageMargins left="0.70866141732283472" right="0.70866141732283472" top="0.51181102362204722" bottom="0.51181102362204722" header="0.31496062992125984" footer="0.31496062992125984"/>
  <pageSetup paperSize="5" scale="93" fitToHeight="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FFFF"/>
    <pageSetUpPr fitToPage="1"/>
  </sheetPr>
  <dimension ref="A1:M13"/>
  <sheetViews>
    <sheetView zoomScaleNormal="100" zoomScaleSheetLayoutView="100" workbookViewId="0">
      <selection activeCell="A24" sqref="A24"/>
    </sheetView>
  </sheetViews>
  <sheetFormatPr defaultColWidth="9.19921875" defaultRowHeight="14.25"/>
  <cols>
    <col min="1" max="1" width="35" customWidth="1"/>
    <col min="2" max="13" width="11.19921875" customWidth="1"/>
  </cols>
  <sheetData>
    <row r="1" spans="1:13">
      <c r="A1" s="1597" t="s">
        <v>1818</v>
      </c>
      <c r="B1" s="1597"/>
      <c r="C1" s="1597"/>
      <c r="D1" s="1597"/>
      <c r="E1" s="1597"/>
      <c r="F1" s="1597"/>
      <c r="G1" s="1597"/>
      <c r="H1" s="219"/>
      <c r="L1" s="180"/>
    </row>
    <row r="2" spans="1:13">
      <c r="A2" s="1482" t="str">
        <f>+'BS1'!A2</f>
        <v>NIDP DEVELOPERS PRIVATE LIMITED</v>
      </c>
      <c r="B2" s="1482"/>
      <c r="C2" s="1482"/>
      <c r="D2" s="1482"/>
      <c r="E2" s="1482"/>
      <c r="F2" s="1482"/>
      <c r="G2" s="1482"/>
      <c r="H2" s="1482"/>
      <c r="I2" s="1482"/>
      <c r="J2" s="179"/>
      <c r="K2" s="179"/>
      <c r="L2" s="179"/>
      <c r="M2" s="179"/>
    </row>
    <row r="3" spans="1:13">
      <c r="A3" s="150" t="s">
        <v>3</v>
      </c>
      <c r="B3" s="150"/>
      <c r="C3" s="150"/>
      <c r="D3" s="150"/>
      <c r="E3" s="150"/>
      <c r="F3" s="150"/>
      <c r="G3" s="150"/>
      <c r="H3" s="150"/>
      <c r="I3" s="150"/>
      <c r="J3" s="235"/>
      <c r="K3" s="235"/>
      <c r="L3" s="235"/>
      <c r="M3" s="235"/>
    </row>
    <row r="4" spans="1:13">
      <c r="A4" s="14"/>
      <c r="B4" s="14"/>
      <c r="C4" s="14"/>
      <c r="D4" s="14"/>
      <c r="E4" s="14"/>
      <c r="F4" s="14"/>
      <c r="G4" s="14"/>
      <c r="H4" s="14"/>
      <c r="I4" s="14"/>
      <c r="J4" s="14"/>
      <c r="K4" s="14"/>
      <c r="L4" s="14"/>
      <c r="M4" s="14"/>
    </row>
    <row r="5" spans="1:13" ht="29.25" customHeight="1">
      <c r="A5" s="1488" t="s">
        <v>10</v>
      </c>
      <c r="B5" s="1488" t="s">
        <v>621</v>
      </c>
      <c r="C5" s="1488"/>
      <c r="D5" s="1488"/>
      <c r="E5" s="1488"/>
      <c r="F5" s="1488"/>
      <c r="G5" s="1488"/>
      <c r="H5" s="1978" t="s">
        <v>1573</v>
      </c>
      <c r="I5" s="1978"/>
      <c r="J5" s="1978" t="s">
        <v>344</v>
      </c>
      <c r="K5" s="1978"/>
      <c r="L5" s="1978" t="s">
        <v>739</v>
      </c>
      <c r="M5" s="1978"/>
    </row>
    <row r="6" spans="1:13" ht="15" customHeight="1">
      <c r="A6" s="1488"/>
      <c r="B6" s="1980" t="s">
        <v>340</v>
      </c>
      <c r="C6" s="1981"/>
      <c r="D6" s="1980" t="s">
        <v>341</v>
      </c>
      <c r="E6" s="1981"/>
      <c r="F6" s="1982" t="s">
        <v>342</v>
      </c>
      <c r="G6" s="1983"/>
      <c r="H6" s="1982" t="s">
        <v>343</v>
      </c>
      <c r="I6" s="1983"/>
      <c r="J6" s="1979" t="s">
        <v>1442</v>
      </c>
      <c r="K6" s="1979"/>
      <c r="L6" s="1979" t="s">
        <v>2024</v>
      </c>
      <c r="M6" s="1979"/>
    </row>
    <row r="7" spans="1:13" ht="28.5">
      <c r="A7" s="1488"/>
      <c r="B7" s="146" t="s">
        <v>1600</v>
      </c>
      <c r="C7" s="146" t="s">
        <v>1601</v>
      </c>
      <c r="D7" s="146" t="s">
        <v>1600</v>
      </c>
      <c r="E7" s="146" t="s">
        <v>1601</v>
      </c>
      <c r="F7" s="146" t="s">
        <v>1600</v>
      </c>
      <c r="G7" s="146" t="s">
        <v>1601</v>
      </c>
      <c r="H7" s="146" t="s">
        <v>1600</v>
      </c>
      <c r="I7" s="146" t="s">
        <v>1601</v>
      </c>
      <c r="J7" s="146" t="s">
        <v>1600</v>
      </c>
      <c r="K7" s="146" t="s">
        <v>1601</v>
      </c>
      <c r="L7" s="146" t="s">
        <v>1600</v>
      </c>
      <c r="M7" s="146" t="s">
        <v>1601</v>
      </c>
    </row>
    <row r="8" spans="1:13">
      <c r="A8" s="71" t="s">
        <v>1598</v>
      </c>
      <c r="B8" s="1960" t="s">
        <v>2062</v>
      </c>
      <c r="C8" s="1961"/>
      <c r="D8" s="1961"/>
      <c r="E8" s="1961"/>
      <c r="F8" s="1961"/>
      <c r="G8" s="1962"/>
      <c r="H8" s="1969" t="s">
        <v>2154</v>
      </c>
      <c r="I8" s="1970"/>
      <c r="J8" s="1970"/>
      <c r="K8" s="1970"/>
      <c r="L8" s="1970"/>
      <c r="M8" s="1971"/>
    </row>
    <row r="9" spans="1:13">
      <c r="A9" s="71" t="s">
        <v>1599</v>
      </c>
      <c r="B9" s="1963"/>
      <c r="C9" s="1964"/>
      <c r="D9" s="1964"/>
      <c r="E9" s="1964"/>
      <c r="F9" s="1964"/>
      <c r="G9" s="1965"/>
      <c r="H9" s="1972"/>
      <c r="I9" s="1973"/>
      <c r="J9" s="1973"/>
      <c r="K9" s="1973"/>
      <c r="L9" s="1973"/>
      <c r="M9" s="1974"/>
    </row>
    <row r="10" spans="1:13">
      <c r="A10" s="84"/>
      <c r="B10" s="1963"/>
      <c r="C10" s="1964"/>
      <c r="D10" s="1964"/>
      <c r="E10" s="1964"/>
      <c r="F10" s="1964"/>
      <c r="G10" s="1965"/>
      <c r="H10" s="1975"/>
      <c r="I10" s="1976"/>
      <c r="J10" s="1976"/>
      <c r="K10" s="1976"/>
      <c r="L10" s="1976"/>
      <c r="M10" s="1977"/>
    </row>
    <row r="11" spans="1:13">
      <c r="A11" s="83"/>
      <c r="B11" s="1966"/>
      <c r="C11" s="1967"/>
      <c r="D11" s="1967"/>
      <c r="E11" s="1967"/>
      <c r="F11" s="1967"/>
      <c r="G11" s="1968"/>
      <c r="H11" s="947"/>
      <c r="I11" s="947"/>
      <c r="J11" s="947"/>
      <c r="K11" s="947"/>
      <c r="L11" s="947"/>
      <c r="M11" s="947"/>
    </row>
    <row r="12" spans="1:13" ht="5" customHeight="1"/>
    <row r="13" spans="1:13">
      <c r="A13" s="2" t="s">
        <v>1602</v>
      </c>
    </row>
  </sheetData>
  <mergeCells count="15">
    <mergeCell ref="B8:G11"/>
    <mergeCell ref="H8:M10"/>
    <mergeCell ref="A1:G1"/>
    <mergeCell ref="A2:I2"/>
    <mergeCell ref="A5:A7"/>
    <mergeCell ref="H5:I5"/>
    <mergeCell ref="L5:M5"/>
    <mergeCell ref="L6:M6"/>
    <mergeCell ref="J5:K5"/>
    <mergeCell ref="J6:K6"/>
    <mergeCell ref="B6:C6"/>
    <mergeCell ref="D6:E6"/>
    <mergeCell ref="F6:G6"/>
    <mergeCell ref="B5:G5"/>
    <mergeCell ref="H6:I6"/>
  </mergeCells>
  <printOptions horizontalCentered="1"/>
  <pageMargins left="0.70866141732283472" right="0.70866141732283472" top="0.74803149606299213" bottom="0.74803149606299213" header="0.31496062992125984" footer="0.31496062992125984"/>
  <pageSetup paperSize="5" scale="94"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FFFF"/>
    <pageSetUpPr fitToPage="1"/>
  </sheetPr>
  <dimension ref="A1:M36"/>
  <sheetViews>
    <sheetView view="pageBreakPreview" zoomScale="106" zoomScaleNormal="100" zoomScaleSheetLayoutView="106" workbookViewId="0">
      <pane xSplit="2" ySplit="7" topLeftCell="C26" activePane="bottomRight" state="frozen"/>
      <selection activeCell="T96" sqref="T96"/>
      <selection pane="topRight" activeCell="T96" sqref="T96"/>
      <selection pane="bottomLeft" activeCell="T96" sqref="T96"/>
      <selection pane="bottomRight" activeCell="I31" sqref="I31"/>
    </sheetView>
  </sheetViews>
  <sheetFormatPr defaultColWidth="9.19921875" defaultRowHeight="14.25"/>
  <cols>
    <col min="1" max="1" width="5.46484375" customWidth="1"/>
    <col min="2" max="2" width="34.19921875" customWidth="1"/>
    <col min="3" max="6" width="10.86328125" customWidth="1"/>
    <col min="7" max="7" width="8.53125" hidden="1" customWidth="1"/>
    <col min="8" max="8" width="10.19921875" customWidth="1"/>
    <col min="9" max="9" width="10.19921875" style="674" customWidth="1"/>
    <col min="10" max="10" width="10.19921875" customWidth="1"/>
    <col min="11" max="13" width="13.19921875" customWidth="1"/>
  </cols>
  <sheetData>
    <row r="1" spans="1:13">
      <c r="A1" s="1597" t="s">
        <v>1819</v>
      </c>
      <c r="B1" s="1597"/>
      <c r="C1" s="219"/>
      <c r="D1" s="219"/>
    </row>
    <row r="2" spans="1:13" ht="20.25" customHeight="1">
      <c r="A2" s="49" t="str">
        <f>+'BS1'!A2</f>
        <v>NIDP DEVELOPERS PRIVATE LIMITED</v>
      </c>
      <c r="B2" s="49"/>
      <c r="C2" s="49"/>
      <c r="D2" s="49"/>
      <c r="E2" s="49"/>
      <c r="F2" s="49"/>
      <c r="G2" s="49"/>
      <c r="H2" s="179"/>
      <c r="I2" s="843"/>
      <c r="J2" s="179"/>
    </row>
    <row r="3" spans="1:13">
      <c r="A3" s="150" t="s">
        <v>1370</v>
      </c>
      <c r="B3" s="150"/>
      <c r="C3" s="150"/>
      <c r="D3" s="150"/>
      <c r="E3" s="150"/>
      <c r="F3" s="1875"/>
      <c r="G3" s="1875"/>
      <c r="H3" s="172"/>
      <c r="I3" s="844"/>
      <c r="J3" s="172"/>
      <c r="K3" s="1875"/>
      <c r="L3" s="1875"/>
      <c r="M3" s="172"/>
    </row>
    <row r="4" spans="1:13">
      <c r="A4" s="14"/>
      <c r="B4" s="14"/>
      <c r="C4" s="14"/>
      <c r="D4" s="14"/>
      <c r="E4" s="14"/>
      <c r="F4" s="1899"/>
      <c r="G4" s="1899"/>
      <c r="H4" s="236"/>
      <c r="I4" s="845"/>
      <c r="J4" s="236"/>
      <c r="K4" s="1899"/>
      <c r="L4" s="1899"/>
      <c r="M4" s="653" t="s">
        <v>93</v>
      </c>
    </row>
    <row r="5" spans="1:13">
      <c r="A5" s="1481" t="s">
        <v>74</v>
      </c>
      <c r="B5" s="1488" t="s">
        <v>10</v>
      </c>
      <c r="C5" s="1992" t="s">
        <v>621</v>
      </c>
      <c r="D5" s="1993"/>
      <c r="E5" s="1993"/>
      <c r="F5" s="1993"/>
      <c r="G5" s="1994"/>
      <c r="H5" s="1568" t="s">
        <v>336</v>
      </c>
      <c r="I5" s="1846"/>
      <c r="J5" s="1569"/>
      <c r="K5" s="1990" t="s">
        <v>344</v>
      </c>
      <c r="L5" s="1991"/>
      <c r="M5" s="152" t="s">
        <v>739</v>
      </c>
    </row>
    <row r="6" spans="1:13" ht="28.5">
      <c r="A6" s="1481"/>
      <c r="B6" s="1488"/>
      <c r="C6" s="229" t="s">
        <v>339</v>
      </c>
      <c r="D6" s="229" t="s">
        <v>340</v>
      </c>
      <c r="E6" s="229" t="s">
        <v>341</v>
      </c>
      <c r="F6" s="229" t="s">
        <v>342</v>
      </c>
      <c r="G6" s="146" t="s">
        <v>348</v>
      </c>
      <c r="H6" s="1979" t="s">
        <v>343</v>
      </c>
      <c r="I6" s="1979"/>
      <c r="J6" s="1979"/>
      <c r="K6" s="1982" t="s">
        <v>1442</v>
      </c>
      <c r="L6" s="1983"/>
      <c r="M6" s="151" t="s">
        <v>2024</v>
      </c>
    </row>
    <row r="7" spans="1:13" ht="42.75">
      <c r="A7" s="1481"/>
      <c r="B7" s="1488"/>
      <c r="C7" s="146" t="s">
        <v>2089</v>
      </c>
      <c r="D7" s="146" t="s">
        <v>2089</v>
      </c>
      <c r="E7" s="146" t="s">
        <v>2089</v>
      </c>
      <c r="F7" s="146" t="s">
        <v>2089</v>
      </c>
      <c r="G7" s="146" t="s">
        <v>1407</v>
      </c>
      <c r="H7" s="151" t="s">
        <v>337</v>
      </c>
      <c r="I7" s="846" t="s">
        <v>182</v>
      </c>
      <c r="J7" s="151" t="s">
        <v>338</v>
      </c>
      <c r="K7" s="151" t="s">
        <v>337</v>
      </c>
      <c r="L7" s="151" t="s">
        <v>338</v>
      </c>
      <c r="M7" s="151" t="s">
        <v>346</v>
      </c>
    </row>
    <row r="8" spans="1:13">
      <c r="A8" s="5">
        <v>1</v>
      </c>
      <c r="B8" s="71" t="s">
        <v>46</v>
      </c>
      <c r="C8" s="1911" t="s">
        <v>2062</v>
      </c>
      <c r="D8" s="1912"/>
      <c r="E8" s="1912"/>
      <c r="F8" s="1913"/>
      <c r="G8" s="7"/>
      <c r="H8" s="7"/>
      <c r="I8" s="1984" t="s">
        <v>2154</v>
      </c>
      <c r="J8" s="1985"/>
      <c r="K8" s="7"/>
      <c r="L8" s="1984" t="s">
        <v>2154</v>
      </c>
      <c r="M8" s="1985"/>
    </row>
    <row r="9" spans="1:13">
      <c r="A9" s="5">
        <f t="shared" ref="A9:A28" si="0">A8+1</f>
        <v>2</v>
      </c>
      <c r="B9" s="71" t="s">
        <v>47</v>
      </c>
      <c r="C9" s="1914"/>
      <c r="D9" s="1915"/>
      <c r="E9" s="1915"/>
      <c r="F9" s="1916"/>
      <c r="G9" s="7"/>
      <c r="H9" s="7"/>
      <c r="I9" s="1986"/>
      <c r="J9" s="1987"/>
      <c r="K9" s="7"/>
      <c r="L9" s="1986"/>
      <c r="M9" s="1987"/>
    </row>
    <row r="10" spans="1:13">
      <c r="A10" s="5">
        <f t="shared" si="0"/>
        <v>3</v>
      </c>
      <c r="B10" s="71" t="s">
        <v>48</v>
      </c>
      <c r="C10" s="1914"/>
      <c r="D10" s="1915"/>
      <c r="E10" s="1915"/>
      <c r="F10" s="1916"/>
      <c r="G10" s="7"/>
      <c r="H10" s="7"/>
      <c r="I10" s="1986"/>
      <c r="J10" s="1987"/>
      <c r="K10" s="7"/>
      <c r="L10" s="1986"/>
      <c r="M10" s="1987"/>
    </row>
    <row r="11" spans="1:13">
      <c r="A11" s="5">
        <f t="shared" si="0"/>
        <v>4</v>
      </c>
      <c r="B11" s="71" t="s">
        <v>49</v>
      </c>
      <c r="C11" s="1914"/>
      <c r="D11" s="1915"/>
      <c r="E11" s="1915"/>
      <c r="F11" s="1916"/>
      <c r="G11" s="7"/>
      <c r="H11" s="7"/>
      <c r="I11" s="1986"/>
      <c r="J11" s="1987"/>
      <c r="K11" s="7"/>
      <c r="L11" s="1986"/>
      <c r="M11" s="1987"/>
    </row>
    <row r="12" spans="1:13">
      <c r="A12" s="5">
        <f t="shared" si="0"/>
        <v>5</v>
      </c>
      <c r="B12" s="71" t="s">
        <v>50</v>
      </c>
      <c r="C12" s="1914"/>
      <c r="D12" s="1915"/>
      <c r="E12" s="1915"/>
      <c r="F12" s="1916"/>
      <c r="G12" s="7"/>
      <c r="H12" s="7"/>
      <c r="I12" s="1986"/>
      <c r="J12" s="1987"/>
      <c r="K12" s="7"/>
      <c r="L12" s="1986"/>
      <c r="M12" s="1987"/>
    </row>
    <row r="13" spans="1:13">
      <c r="A13" s="5">
        <f t="shared" si="0"/>
        <v>6</v>
      </c>
      <c r="B13" s="71" t="s">
        <v>51</v>
      </c>
      <c r="C13" s="1914"/>
      <c r="D13" s="1915"/>
      <c r="E13" s="1915"/>
      <c r="F13" s="1916"/>
      <c r="G13" s="7"/>
      <c r="H13" s="7"/>
      <c r="I13" s="1986"/>
      <c r="J13" s="1987"/>
      <c r="K13" s="7"/>
      <c r="L13" s="1986"/>
      <c r="M13" s="1987"/>
    </row>
    <row r="14" spans="1:13">
      <c r="A14" s="5">
        <f t="shared" si="0"/>
        <v>7</v>
      </c>
      <c r="B14" s="71" t="s">
        <v>52</v>
      </c>
      <c r="C14" s="1914"/>
      <c r="D14" s="1915"/>
      <c r="E14" s="1915"/>
      <c r="F14" s="1916"/>
      <c r="G14" s="7"/>
      <c r="H14" s="7"/>
      <c r="I14" s="1986"/>
      <c r="J14" s="1987"/>
      <c r="K14" s="7"/>
      <c r="L14" s="1986"/>
      <c r="M14" s="1987"/>
    </row>
    <row r="15" spans="1:13">
      <c r="A15" s="5">
        <f t="shared" si="0"/>
        <v>8</v>
      </c>
      <c r="B15" s="71" t="s">
        <v>53</v>
      </c>
      <c r="C15" s="1914"/>
      <c r="D15" s="1915"/>
      <c r="E15" s="1915"/>
      <c r="F15" s="1916"/>
      <c r="G15" s="7"/>
      <c r="H15" s="7"/>
      <c r="I15" s="1986"/>
      <c r="J15" s="1987"/>
      <c r="K15" s="7"/>
      <c r="L15" s="1986"/>
      <c r="M15" s="1987"/>
    </row>
    <row r="16" spans="1:13">
      <c r="A16" s="5">
        <f t="shared" si="0"/>
        <v>9</v>
      </c>
      <c r="B16" s="71" t="s">
        <v>54</v>
      </c>
      <c r="C16" s="1914"/>
      <c r="D16" s="1915"/>
      <c r="E16" s="1915"/>
      <c r="F16" s="1916"/>
      <c r="G16" s="7"/>
      <c r="H16" s="7"/>
      <c r="I16" s="1986"/>
      <c r="J16" s="1987"/>
      <c r="K16" s="7"/>
      <c r="L16" s="1986"/>
      <c r="M16" s="1987"/>
    </row>
    <row r="17" spans="1:13" ht="28.5">
      <c r="A17" s="5">
        <f t="shared" si="0"/>
        <v>10</v>
      </c>
      <c r="B17" s="71" t="s">
        <v>55</v>
      </c>
      <c r="C17" s="1914"/>
      <c r="D17" s="1915"/>
      <c r="E17" s="1915"/>
      <c r="F17" s="1916"/>
      <c r="G17" s="7"/>
      <c r="H17" s="7"/>
      <c r="I17" s="1986"/>
      <c r="J17" s="1987"/>
      <c r="K17" s="7"/>
      <c r="L17" s="1986"/>
      <c r="M17" s="1987"/>
    </row>
    <row r="18" spans="1:13">
      <c r="A18" s="5">
        <f t="shared" si="0"/>
        <v>11</v>
      </c>
      <c r="B18" s="71" t="s">
        <v>56</v>
      </c>
      <c r="C18" s="1914"/>
      <c r="D18" s="1915"/>
      <c r="E18" s="1915"/>
      <c r="F18" s="1916"/>
      <c r="G18" s="7"/>
      <c r="H18" s="7"/>
      <c r="I18" s="1986"/>
      <c r="J18" s="1987"/>
      <c r="K18" s="7"/>
      <c r="L18" s="1986"/>
      <c r="M18" s="1987"/>
    </row>
    <row r="19" spans="1:13">
      <c r="A19" s="5">
        <f t="shared" si="0"/>
        <v>12</v>
      </c>
      <c r="B19" s="71" t="s">
        <v>57</v>
      </c>
      <c r="C19" s="1914"/>
      <c r="D19" s="1915"/>
      <c r="E19" s="1915"/>
      <c r="F19" s="1916"/>
      <c r="G19" s="7"/>
      <c r="H19" s="7"/>
      <c r="I19" s="1986"/>
      <c r="J19" s="1987"/>
      <c r="K19" s="7"/>
      <c r="L19" s="1986"/>
      <c r="M19" s="1987"/>
    </row>
    <row r="20" spans="1:13" ht="28.5">
      <c r="A20" s="5">
        <f t="shared" si="0"/>
        <v>13</v>
      </c>
      <c r="B20" s="71" t="s">
        <v>58</v>
      </c>
      <c r="C20" s="1914"/>
      <c r="D20" s="1915"/>
      <c r="E20" s="1915"/>
      <c r="F20" s="1916"/>
      <c r="G20" s="7"/>
      <c r="H20" s="7"/>
      <c r="I20" s="1986"/>
      <c r="J20" s="1987"/>
      <c r="K20" s="7"/>
      <c r="L20" s="1986"/>
      <c r="M20" s="1987"/>
    </row>
    <row r="21" spans="1:13" ht="19.5" customHeight="1">
      <c r="A21" s="6">
        <f t="shared" si="0"/>
        <v>14</v>
      </c>
      <c r="B21" s="24" t="s">
        <v>59</v>
      </c>
      <c r="C21" s="1914"/>
      <c r="D21" s="1915"/>
      <c r="E21" s="1915"/>
      <c r="F21" s="1916"/>
      <c r="G21" s="7"/>
      <c r="H21" s="7"/>
      <c r="I21" s="1986"/>
      <c r="J21" s="1987"/>
      <c r="K21" s="7"/>
      <c r="L21" s="1986"/>
      <c r="M21" s="1987"/>
    </row>
    <row r="22" spans="1:13">
      <c r="A22" s="5">
        <f t="shared" si="0"/>
        <v>15</v>
      </c>
      <c r="B22" s="71" t="s">
        <v>60</v>
      </c>
      <c r="C22" s="1914"/>
      <c r="D22" s="1915"/>
      <c r="E22" s="1915"/>
      <c r="F22" s="1916"/>
      <c r="G22" s="7"/>
      <c r="H22" s="7"/>
      <c r="I22" s="1986"/>
      <c r="J22" s="1987"/>
      <c r="K22" s="7"/>
      <c r="L22" s="1986"/>
      <c r="M22" s="1987"/>
    </row>
    <row r="23" spans="1:13">
      <c r="A23" s="5">
        <f t="shared" si="0"/>
        <v>16</v>
      </c>
      <c r="B23" s="71" t="s">
        <v>61</v>
      </c>
      <c r="C23" s="1914"/>
      <c r="D23" s="1915"/>
      <c r="E23" s="1915"/>
      <c r="F23" s="1916"/>
      <c r="G23" s="7"/>
      <c r="H23" s="7"/>
      <c r="I23" s="1986"/>
      <c r="J23" s="1987"/>
      <c r="K23" s="7"/>
      <c r="L23" s="1986"/>
      <c r="M23" s="1987"/>
    </row>
    <row r="24" spans="1:13">
      <c r="A24" s="5">
        <f t="shared" si="0"/>
        <v>17</v>
      </c>
      <c r="B24" s="71" t="s">
        <v>62</v>
      </c>
      <c r="C24" s="1914"/>
      <c r="D24" s="1915"/>
      <c r="E24" s="1915"/>
      <c r="F24" s="1916"/>
      <c r="G24" s="7"/>
      <c r="H24" s="7"/>
      <c r="I24" s="1986"/>
      <c r="J24" s="1987"/>
      <c r="K24" s="7"/>
      <c r="L24" s="1986"/>
      <c r="M24" s="1987"/>
    </row>
    <row r="25" spans="1:13">
      <c r="A25" s="5">
        <f t="shared" si="0"/>
        <v>18</v>
      </c>
      <c r="B25" s="71" t="s">
        <v>63</v>
      </c>
      <c r="C25" s="1914"/>
      <c r="D25" s="1915"/>
      <c r="E25" s="1915"/>
      <c r="F25" s="1916"/>
      <c r="G25" s="7"/>
      <c r="H25" s="7"/>
      <c r="I25" s="1986"/>
      <c r="J25" s="1987"/>
      <c r="K25" s="7"/>
      <c r="L25" s="1986"/>
      <c r="M25" s="1987"/>
    </row>
    <row r="26" spans="1:13">
      <c r="A26" s="5">
        <f t="shared" si="0"/>
        <v>19</v>
      </c>
      <c r="B26" s="71" t="s">
        <v>64</v>
      </c>
      <c r="C26" s="1914"/>
      <c r="D26" s="1915"/>
      <c r="E26" s="1915"/>
      <c r="F26" s="1916"/>
      <c r="G26" s="7"/>
      <c r="H26" s="7"/>
      <c r="I26" s="1986"/>
      <c r="J26" s="1987"/>
      <c r="K26" s="7"/>
      <c r="L26" s="1986"/>
      <c r="M26" s="1987"/>
    </row>
    <row r="27" spans="1:13">
      <c r="A27" s="5">
        <f t="shared" si="0"/>
        <v>20</v>
      </c>
      <c r="B27" s="71" t="s">
        <v>65</v>
      </c>
      <c r="C27" s="1914"/>
      <c r="D27" s="1915"/>
      <c r="E27" s="1915"/>
      <c r="F27" s="1916"/>
      <c r="G27" s="7"/>
      <c r="H27" s="7"/>
      <c r="I27" s="1988"/>
      <c r="J27" s="1989"/>
      <c r="K27" s="7"/>
      <c r="L27" s="1988"/>
      <c r="M27" s="1989"/>
    </row>
    <row r="28" spans="1:13">
      <c r="A28" s="5">
        <f t="shared" si="0"/>
        <v>21</v>
      </c>
      <c r="B28" s="71" t="s">
        <v>2088</v>
      </c>
      <c r="C28" s="1917"/>
      <c r="D28" s="1918"/>
      <c r="E28" s="1918"/>
      <c r="F28" s="1919"/>
      <c r="G28" s="7"/>
      <c r="H28" s="7"/>
      <c r="I28" s="948"/>
      <c r="J28" s="7"/>
      <c r="K28" s="7"/>
      <c r="L28" s="7"/>
      <c r="M28" s="7"/>
    </row>
    <row r="29" spans="1:13">
      <c r="A29" s="17"/>
      <c r="B29" s="82" t="s">
        <v>66</v>
      </c>
      <c r="C29" s="848">
        <f>SUM(C8:C28)</f>
        <v>0</v>
      </c>
      <c r="D29" s="848">
        <f t="shared" ref="D29:M29" si="1">SUM(D8:D28)</f>
        <v>0</v>
      </c>
      <c r="E29" s="848">
        <f t="shared" si="1"/>
        <v>0</v>
      </c>
      <c r="F29" s="848">
        <f t="shared" ref="F29" si="2">SUM(F8:F28)</f>
        <v>0</v>
      </c>
      <c r="G29" s="848">
        <f t="shared" si="1"/>
        <v>0</v>
      </c>
      <c r="H29" s="848">
        <f t="shared" si="1"/>
        <v>0</v>
      </c>
      <c r="I29" s="848">
        <f t="shared" si="1"/>
        <v>0</v>
      </c>
      <c r="J29" s="848">
        <f t="shared" si="1"/>
        <v>0</v>
      </c>
      <c r="K29" s="848">
        <f t="shared" si="1"/>
        <v>0</v>
      </c>
      <c r="L29" s="848">
        <f t="shared" si="1"/>
        <v>0</v>
      </c>
      <c r="M29" s="848">
        <f t="shared" si="1"/>
        <v>0</v>
      </c>
    </row>
    <row r="30" spans="1:13" s="504" customFormat="1" ht="13.15">
      <c r="A30" s="502">
        <f>A28+1</f>
        <v>22</v>
      </c>
      <c r="B30" s="503" t="s">
        <v>67</v>
      </c>
      <c r="C30" s="849"/>
      <c r="D30" s="849"/>
      <c r="E30" s="849"/>
      <c r="F30" s="849">
        <f>-'[4]Schedule NIDP'!$J$407/100</f>
        <v>0</v>
      </c>
      <c r="G30" s="849" t="e">
        <f>#REF!</f>
        <v>#REF!</v>
      </c>
      <c r="H30" s="949"/>
      <c r="I30" s="849"/>
      <c r="J30" s="849"/>
      <c r="K30" s="849"/>
      <c r="L30" s="849"/>
      <c r="M30" s="950"/>
    </row>
    <row r="31" spans="1:13" s="499" customFormat="1">
      <c r="A31" s="535"/>
      <c r="B31" s="560" t="s">
        <v>333</v>
      </c>
      <c r="C31" s="848">
        <f>C29-C30</f>
        <v>0</v>
      </c>
      <c r="D31" s="848">
        <f t="shared" ref="D31:M31" si="3">D29-D30</f>
        <v>0</v>
      </c>
      <c r="E31" s="848">
        <f t="shared" si="3"/>
        <v>0</v>
      </c>
      <c r="F31" s="848">
        <f t="shared" ref="F31" si="4">F29-F30</f>
        <v>0</v>
      </c>
      <c r="G31" s="848" t="e">
        <f t="shared" si="3"/>
        <v>#REF!</v>
      </c>
      <c r="H31" s="848">
        <f t="shared" si="3"/>
        <v>0</v>
      </c>
      <c r="I31" s="848">
        <f t="shared" si="3"/>
        <v>0</v>
      </c>
      <c r="J31" s="848">
        <f t="shared" si="3"/>
        <v>0</v>
      </c>
      <c r="K31" s="848">
        <f t="shared" si="3"/>
        <v>0</v>
      </c>
      <c r="L31" s="848">
        <f t="shared" si="3"/>
        <v>0</v>
      </c>
      <c r="M31" s="848">
        <f t="shared" si="3"/>
        <v>0</v>
      </c>
    </row>
    <row r="32" spans="1:13">
      <c r="A32" s="22"/>
      <c r="B32" s="1995"/>
      <c r="C32" s="1995"/>
      <c r="D32" s="1995"/>
      <c r="E32" s="23"/>
    </row>
    <row r="33" spans="1:10">
      <c r="A33" s="22"/>
      <c r="B33" s="23"/>
      <c r="C33" s="23"/>
      <c r="D33" s="23"/>
      <c r="E33" s="23"/>
    </row>
    <row r="34" spans="1:10" ht="13.5" customHeight="1">
      <c r="A34" s="22"/>
    </row>
    <row r="35" spans="1:10">
      <c r="A35" s="22"/>
      <c r="F35" s="1670"/>
      <c r="G35" s="1670"/>
      <c r="H35" s="32"/>
      <c r="I35" s="847"/>
      <c r="J35" s="32"/>
    </row>
    <row r="36" spans="1:10">
      <c r="A36" s="22"/>
    </row>
  </sheetData>
  <mergeCells count="17">
    <mergeCell ref="B32:D32"/>
    <mergeCell ref="H6:J6"/>
    <mergeCell ref="K3:L3"/>
    <mergeCell ref="K4:L4"/>
    <mergeCell ref="C8:F28"/>
    <mergeCell ref="I8:J27"/>
    <mergeCell ref="A1:B1"/>
    <mergeCell ref="A5:A7"/>
    <mergeCell ref="B5:B7"/>
    <mergeCell ref="F3:G3"/>
    <mergeCell ref="F4:G4"/>
    <mergeCell ref="C5:G5"/>
    <mergeCell ref="L8:M27"/>
    <mergeCell ref="F35:G35"/>
    <mergeCell ref="H5:J5"/>
    <mergeCell ref="K5:L5"/>
    <mergeCell ref="K6:L6"/>
  </mergeCells>
  <printOptions horizontalCentered="1"/>
  <pageMargins left="0.70866141732283472" right="0.70866141732283472" top="0.74803149606299213" bottom="0.74803149606299213" header="0.31496062992125984" footer="0.31496062992125984"/>
  <pageSetup paperSize="5" scale="92"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00FFFF"/>
  </sheetPr>
  <dimension ref="A1:G18"/>
  <sheetViews>
    <sheetView view="pageBreakPreview" zoomScaleNormal="100" zoomScaleSheetLayoutView="100" workbookViewId="0">
      <selection activeCell="D14" sqref="D14"/>
    </sheetView>
  </sheetViews>
  <sheetFormatPr defaultColWidth="9.19921875" defaultRowHeight="14.25"/>
  <cols>
    <col min="1" max="1" width="6.19921875" customWidth="1"/>
    <col min="2" max="2" width="30" bestFit="1" customWidth="1"/>
    <col min="3" max="3" width="12.1328125" customWidth="1"/>
    <col min="4" max="7" width="13.19921875" customWidth="1"/>
  </cols>
  <sheetData>
    <row r="1" spans="1:7">
      <c r="A1" s="1597" t="s">
        <v>1820</v>
      </c>
      <c r="B1" s="1597"/>
      <c r="C1" s="219"/>
    </row>
    <row r="2" spans="1:7">
      <c r="A2" s="49" t="str">
        <f>+'BS1'!A2</f>
        <v>NIDP DEVELOPERS PRIVATE LIMITED</v>
      </c>
      <c r="B2" s="49"/>
      <c r="C2" s="49"/>
      <c r="D2" s="49"/>
      <c r="E2" s="179"/>
    </row>
    <row r="3" spans="1:7">
      <c r="A3" s="150" t="s">
        <v>2</v>
      </c>
      <c r="B3" s="150"/>
      <c r="C3" s="150"/>
      <c r="D3" s="172"/>
      <c r="E3" s="172"/>
      <c r="F3" s="1875"/>
      <c r="G3" s="1875"/>
    </row>
    <row r="4" spans="1:7">
      <c r="A4" s="14"/>
      <c r="B4" s="14"/>
      <c r="C4" s="14"/>
      <c r="D4" s="180"/>
      <c r="E4" s="180"/>
      <c r="F4" s="1932"/>
      <c r="G4" s="1932"/>
    </row>
    <row r="5" spans="1:7" ht="15" customHeight="1">
      <c r="A5" s="1677" t="s">
        <v>8</v>
      </c>
      <c r="B5" s="1488" t="s">
        <v>10</v>
      </c>
      <c r="C5" s="1568" t="s">
        <v>1443</v>
      </c>
      <c r="D5" s="1569"/>
      <c r="E5" s="1568" t="s">
        <v>344</v>
      </c>
      <c r="F5" s="1569"/>
      <c r="G5" s="147" t="s">
        <v>739</v>
      </c>
    </row>
    <row r="6" spans="1:7">
      <c r="A6" s="1678"/>
      <c r="B6" s="1488"/>
      <c r="C6" s="1982" t="s">
        <v>343</v>
      </c>
      <c r="D6" s="1983"/>
      <c r="E6" s="1982" t="s">
        <v>1442</v>
      </c>
      <c r="F6" s="1983"/>
      <c r="G6" s="152" t="s">
        <v>2024</v>
      </c>
    </row>
    <row r="7" spans="1:7" ht="28.5">
      <c r="A7" s="1679"/>
      <c r="B7" s="1488"/>
      <c r="C7" s="148" t="s">
        <v>337</v>
      </c>
      <c r="D7" s="147" t="s">
        <v>338</v>
      </c>
      <c r="E7" s="148" t="s">
        <v>337</v>
      </c>
      <c r="F7" s="148" t="s">
        <v>346</v>
      </c>
      <c r="G7" s="147" t="s">
        <v>183</v>
      </c>
    </row>
    <row r="8" spans="1:7">
      <c r="A8" s="5">
        <v>1</v>
      </c>
      <c r="B8" s="1" t="s">
        <v>1447</v>
      </c>
      <c r="C8" s="1"/>
      <c r="D8" s="667"/>
      <c r="E8" s="667"/>
      <c r="F8" s="667">
        <f>+D8</f>
        <v>0</v>
      </c>
      <c r="G8" s="667">
        <f>+F8</f>
        <v>0</v>
      </c>
    </row>
    <row r="9" spans="1:7">
      <c r="A9" s="5">
        <v>2</v>
      </c>
      <c r="B9" s="1" t="s">
        <v>1590</v>
      </c>
      <c r="C9" s="1"/>
      <c r="D9" s="668">
        <f>+D8*5%</f>
        <v>0</v>
      </c>
      <c r="E9" s="668"/>
      <c r="F9" s="668">
        <f>+F8*5%</f>
        <v>0</v>
      </c>
      <c r="G9" s="668">
        <f>+G8*5%</f>
        <v>0</v>
      </c>
    </row>
    <row r="10" spans="1:7" ht="20.25" customHeight="1">
      <c r="A10" s="5">
        <v>3</v>
      </c>
      <c r="B10" s="1" t="s">
        <v>1448</v>
      </c>
      <c r="C10" s="1"/>
      <c r="D10" s="177">
        <f>+'F14_CAP_Cap Cost'!F8</f>
        <v>0</v>
      </c>
      <c r="E10" s="177"/>
      <c r="F10" s="177">
        <f>+F24_Dep!C51</f>
        <v>36.926337307848478</v>
      </c>
      <c r="G10" s="177">
        <f>+F10</f>
        <v>36.926337307848478</v>
      </c>
    </row>
    <row r="11" spans="1:7">
      <c r="A11" s="5">
        <v>4</v>
      </c>
      <c r="B11" s="1" t="s">
        <v>1590</v>
      </c>
      <c r="C11" s="1"/>
      <c r="D11" s="672"/>
      <c r="E11" s="1"/>
      <c r="F11" s="672">
        <f t="shared" ref="F11:G11" si="0">+F10*5%</f>
        <v>1.846316865392424</v>
      </c>
      <c r="G11" s="672">
        <f t="shared" si="0"/>
        <v>1.846316865392424</v>
      </c>
    </row>
    <row r="12" spans="1:7">
      <c r="A12" s="5">
        <v>5</v>
      </c>
      <c r="B12" s="1" t="s">
        <v>1449</v>
      </c>
      <c r="C12" s="1"/>
      <c r="D12" s="672"/>
      <c r="E12" s="1"/>
      <c r="F12" s="764">
        <v>0</v>
      </c>
      <c r="G12" s="850">
        <f>+F12+'F14_CAP_Cap Cost'!H11</f>
        <v>2.7</v>
      </c>
    </row>
    <row r="13" spans="1:7">
      <c r="A13" s="5">
        <v>6</v>
      </c>
      <c r="B13" s="1" t="s">
        <v>1591</v>
      </c>
      <c r="C13" s="1"/>
      <c r="D13" s="672"/>
      <c r="E13" s="1"/>
      <c r="F13" s="672">
        <f>+F12*3%</f>
        <v>0</v>
      </c>
      <c r="G13" s="672">
        <f>+G12*3%</f>
        <v>8.1000000000000003E-2</v>
      </c>
    </row>
    <row r="14" spans="1:7">
      <c r="A14" s="17">
        <v>7</v>
      </c>
      <c r="B14" s="143" t="s">
        <v>18</v>
      </c>
      <c r="C14" s="143"/>
      <c r="D14" s="764">
        <v>0</v>
      </c>
      <c r="E14" s="143"/>
      <c r="F14" s="869">
        <f>+F11+F13</f>
        <v>1.846316865392424</v>
      </c>
      <c r="G14" s="869">
        <f>+G11+G13</f>
        <v>1.927316865392424</v>
      </c>
    </row>
    <row r="15" spans="1:7">
      <c r="A15" s="2" t="s">
        <v>1589</v>
      </c>
    </row>
    <row r="16" spans="1:7">
      <c r="A16" s="2" t="s">
        <v>1592</v>
      </c>
      <c r="B16" s="2" t="s">
        <v>1593</v>
      </c>
    </row>
    <row r="17" spans="1:2">
      <c r="A17" s="2" t="s">
        <v>1594</v>
      </c>
      <c r="B17" s="2" t="s">
        <v>1596</v>
      </c>
    </row>
    <row r="18" spans="1:2">
      <c r="A18" s="2" t="s">
        <v>1595</v>
      </c>
      <c r="B18" s="2" t="s">
        <v>1597</v>
      </c>
    </row>
  </sheetData>
  <mergeCells count="9">
    <mergeCell ref="C6:D6"/>
    <mergeCell ref="C5:D5"/>
    <mergeCell ref="F4:G4"/>
    <mergeCell ref="A1:B1"/>
    <mergeCell ref="A5:A7"/>
    <mergeCell ref="F3:G3"/>
    <mergeCell ref="B5:B7"/>
    <mergeCell ref="E5:F5"/>
    <mergeCell ref="E6:F6"/>
  </mergeCells>
  <printOptions horizontalCentered="1"/>
  <pageMargins left="0.70866141732283472" right="0.70866141732283472" top="0.74803149606299213" bottom="0.74803149606299213" header="0.31496062992125984" footer="0.31496062992125984"/>
  <pageSetup paperSize="5" scale="13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00FFFF"/>
    <pageSetUpPr fitToPage="1"/>
  </sheetPr>
  <dimension ref="A1:L50"/>
  <sheetViews>
    <sheetView view="pageBreakPreview" zoomScale="93" zoomScaleNormal="70" zoomScaleSheetLayoutView="93" workbookViewId="0">
      <pane xSplit="2" ySplit="7" topLeftCell="C8" activePane="bottomRight" state="frozen"/>
      <selection activeCell="T96" sqref="T96"/>
      <selection pane="topRight" activeCell="T96" sqref="T96"/>
      <selection pane="bottomLeft" activeCell="T96" sqref="T96"/>
      <selection pane="bottomRight" activeCell="C8" sqref="C8:F41"/>
    </sheetView>
  </sheetViews>
  <sheetFormatPr defaultColWidth="9.19921875" defaultRowHeight="15.75"/>
  <cols>
    <col min="1" max="1" width="4.796875" style="1198" customWidth="1"/>
    <col min="2" max="2" width="39.46484375" style="1198" customWidth="1"/>
    <col min="3" max="7" width="11.86328125" style="1198" customWidth="1"/>
    <col min="8" max="8" width="11.86328125" style="1199" customWidth="1"/>
    <col min="9" max="12" width="11.86328125" style="1198" customWidth="1"/>
    <col min="13" max="16384" width="9.19921875" style="1198"/>
  </cols>
  <sheetData>
    <row r="1" spans="1:12">
      <c r="A1" s="1996" t="s">
        <v>1821</v>
      </c>
      <c r="B1" s="1996"/>
      <c r="C1" s="1197"/>
      <c r="D1" s="1197"/>
      <c r="E1" s="1197"/>
    </row>
    <row r="2" spans="1:12">
      <c r="A2" s="2003" t="str">
        <f>+'BS1'!A2</f>
        <v>NIDP DEVELOPERS PRIVATE LIMITED</v>
      </c>
      <c r="B2" s="2003"/>
      <c r="C2" s="2003"/>
      <c r="D2" s="2003"/>
      <c r="E2" s="2003"/>
      <c r="F2" s="2003"/>
      <c r="G2" s="2003"/>
      <c r="H2" s="2003"/>
      <c r="I2" s="2003"/>
      <c r="J2" s="1200"/>
    </row>
    <row r="3" spans="1:12">
      <c r="A3" s="1201" t="s">
        <v>222</v>
      </c>
      <c r="B3" s="1201"/>
      <c r="C3" s="1201"/>
      <c r="D3" s="1201"/>
      <c r="E3" s="1201"/>
      <c r="F3" s="1201"/>
      <c r="G3" s="1201"/>
      <c r="H3" s="2008"/>
      <c r="I3" s="2008"/>
      <c r="J3" s="1202"/>
      <c r="K3" s="2008"/>
      <c r="L3" s="2008"/>
    </row>
    <row r="4" spans="1:12">
      <c r="A4" s="1203"/>
      <c r="B4" s="1203"/>
      <c r="C4" s="1203"/>
      <c r="D4" s="1203"/>
      <c r="E4" s="1203"/>
      <c r="F4" s="1203"/>
      <c r="G4" s="1203"/>
      <c r="H4" s="2004"/>
      <c r="I4" s="2004"/>
      <c r="J4" s="1204"/>
      <c r="K4" s="2004"/>
      <c r="L4" s="2004"/>
    </row>
    <row r="5" spans="1:12">
      <c r="A5" s="2005" t="s">
        <v>74</v>
      </c>
      <c r="B5" s="2006" t="s">
        <v>10</v>
      </c>
      <c r="C5" s="2009" t="s">
        <v>621</v>
      </c>
      <c r="D5" s="2010"/>
      <c r="E5" s="2010"/>
      <c r="F5" s="2010"/>
      <c r="G5" s="2007" t="s">
        <v>336</v>
      </c>
      <c r="H5" s="2007"/>
      <c r="I5" s="2007"/>
      <c r="J5" s="2000" t="s">
        <v>344</v>
      </c>
      <c r="K5" s="2001"/>
      <c r="L5" s="1206" t="s">
        <v>739</v>
      </c>
    </row>
    <row r="6" spans="1:12">
      <c r="A6" s="2005"/>
      <c r="B6" s="2006"/>
      <c r="C6" s="1205" t="s">
        <v>339</v>
      </c>
      <c r="D6" s="1205" t="s">
        <v>340</v>
      </c>
      <c r="E6" s="1205" t="s">
        <v>341</v>
      </c>
      <c r="F6" s="1205" t="s">
        <v>342</v>
      </c>
      <c r="G6" s="1997" t="s">
        <v>343</v>
      </c>
      <c r="H6" s="1998"/>
      <c r="I6" s="1999"/>
      <c r="J6" s="1997" t="s">
        <v>1442</v>
      </c>
      <c r="K6" s="1999"/>
      <c r="L6" s="1206" t="s">
        <v>2024</v>
      </c>
    </row>
    <row r="7" spans="1:12" ht="31.5">
      <c r="A7" s="2005"/>
      <c r="B7" s="2006"/>
      <c r="C7" s="1205" t="s">
        <v>2089</v>
      </c>
      <c r="D7" s="1205" t="s">
        <v>2089</v>
      </c>
      <c r="E7" s="1205" t="s">
        <v>2089</v>
      </c>
      <c r="F7" s="1205" t="s">
        <v>2089</v>
      </c>
      <c r="G7" s="1207" t="s">
        <v>337</v>
      </c>
      <c r="H7" s="1208" t="s">
        <v>182</v>
      </c>
      <c r="I7" s="1206" t="s">
        <v>338</v>
      </c>
      <c r="J7" s="1207" t="s">
        <v>337</v>
      </c>
      <c r="K7" s="1207" t="s">
        <v>346</v>
      </c>
      <c r="L7" s="1206" t="s">
        <v>183</v>
      </c>
    </row>
    <row r="8" spans="1:12">
      <c r="A8" s="1209">
        <v>1</v>
      </c>
      <c r="B8" s="1210" t="s">
        <v>107</v>
      </c>
      <c r="C8" s="2011" t="s">
        <v>2062</v>
      </c>
      <c r="D8" s="2012"/>
      <c r="E8" s="2012"/>
      <c r="F8" s="2013"/>
      <c r="G8" s="1211"/>
      <c r="H8" s="1212"/>
      <c r="I8" s="1211">
        <f>+H8</f>
        <v>0</v>
      </c>
      <c r="J8" s="1211"/>
      <c r="K8" s="1211">
        <f>+I8*(1+'F18_O&amp;M_WPI'!I$22)</f>
        <v>0</v>
      </c>
      <c r="L8" s="1211">
        <f>+K8*(1+'F18_O&amp;M_WPI'!J$22)</f>
        <v>0</v>
      </c>
    </row>
    <row r="9" spans="1:12">
      <c r="A9" s="1209">
        <f>A8+1</f>
        <v>2</v>
      </c>
      <c r="B9" s="1210" t="s">
        <v>108</v>
      </c>
      <c r="C9" s="2014"/>
      <c r="D9" s="2015"/>
      <c r="E9" s="2015"/>
      <c r="F9" s="2016"/>
      <c r="G9" s="1211"/>
      <c r="H9" s="1212">
        <f>+'[3]True-up'!$F$130</f>
        <v>0.10195985199999999</v>
      </c>
      <c r="I9" s="1211">
        <f t="shared" ref="I9:I43" si="0">+H9</f>
        <v>0.10195985199999999</v>
      </c>
      <c r="J9" s="1211"/>
      <c r="K9" s="1211">
        <f>+I9*(1+'F18_O&amp;M_WPI'!I$22)</f>
        <v>0.10568313067218213</v>
      </c>
      <c r="L9" s="1211">
        <f>+K9*(1+'F18_O&amp;M_WPI'!J$22)</f>
        <v>0.10954237270443982</v>
      </c>
    </row>
    <row r="10" spans="1:12">
      <c r="A10" s="1209">
        <f t="shared" ref="A10:A38" si="1">A9+1</f>
        <v>3</v>
      </c>
      <c r="B10" s="1210" t="s">
        <v>109</v>
      </c>
      <c r="C10" s="2014"/>
      <c r="D10" s="2015"/>
      <c r="E10" s="2015"/>
      <c r="F10" s="2016"/>
      <c r="G10" s="1211"/>
      <c r="H10" s="1212"/>
      <c r="I10" s="1211">
        <f t="shared" si="0"/>
        <v>0</v>
      </c>
      <c r="J10" s="1211"/>
      <c r="K10" s="1211">
        <f>+I10*(1+'F18_O&amp;M_WPI'!I$22)</f>
        <v>0</v>
      </c>
      <c r="L10" s="1211">
        <f>+K10*(1+'F18_O&amp;M_WPI'!J$22)</f>
        <v>0</v>
      </c>
    </row>
    <row r="11" spans="1:12" ht="31.5">
      <c r="A11" s="1209">
        <f t="shared" si="1"/>
        <v>4</v>
      </c>
      <c r="B11" s="1210" t="s">
        <v>110</v>
      </c>
      <c r="C11" s="2014"/>
      <c r="D11" s="2015"/>
      <c r="E11" s="2015"/>
      <c r="F11" s="2016"/>
      <c r="G11" s="1211"/>
      <c r="H11" s="1212"/>
      <c r="I11" s="1211">
        <f t="shared" si="0"/>
        <v>0</v>
      </c>
      <c r="J11" s="1211"/>
      <c r="K11" s="1211">
        <f>+I11*(1+'F18_O&amp;M_WPI'!I$22)</f>
        <v>0</v>
      </c>
      <c r="L11" s="1211">
        <f>+K11*(1+'F18_O&amp;M_WPI'!J$22)</f>
        <v>0</v>
      </c>
    </row>
    <row r="12" spans="1:12">
      <c r="A12" s="1209">
        <f t="shared" si="1"/>
        <v>5</v>
      </c>
      <c r="B12" s="1210" t="s">
        <v>111</v>
      </c>
      <c r="C12" s="2014"/>
      <c r="D12" s="2015"/>
      <c r="E12" s="2015"/>
      <c r="F12" s="2016"/>
      <c r="G12" s="1211"/>
      <c r="H12" s="1212"/>
      <c r="I12" s="1211">
        <f t="shared" si="0"/>
        <v>0</v>
      </c>
      <c r="J12" s="1211"/>
      <c r="K12" s="1211">
        <f>+I12*(1+'F18_O&amp;M_WPI'!I$22)</f>
        <v>0</v>
      </c>
      <c r="L12" s="1211">
        <f>+K12*(1+'F18_O&amp;M_WPI'!J$22)</f>
        <v>0</v>
      </c>
    </row>
    <row r="13" spans="1:12">
      <c r="A13" s="1209">
        <f t="shared" si="1"/>
        <v>6</v>
      </c>
      <c r="B13" s="1210" t="s">
        <v>112</v>
      </c>
      <c r="C13" s="2014"/>
      <c r="D13" s="2015"/>
      <c r="E13" s="2015"/>
      <c r="F13" s="2016"/>
      <c r="G13" s="1211"/>
      <c r="H13" s="1212"/>
      <c r="I13" s="1211">
        <f t="shared" si="0"/>
        <v>0</v>
      </c>
      <c r="J13" s="1211"/>
      <c r="K13" s="1211">
        <f>+I13*(1+'F18_O&amp;M_WPI'!I$22)</f>
        <v>0</v>
      </c>
      <c r="L13" s="1211">
        <f>+K13*(1+'F18_O&amp;M_WPI'!J$22)</f>
        <v>0</v>
      </c>
    </row>
    <row r="14" spans="1:12">
      <c r="A14" s="1209">
        <f t="shared" si="1"/>
        <v>7</v>
      </c>
      <c r="B14" s="1210" t="s">
        <v>113</v>
      </c>
      <c r="C14" s="2014"/>
      <c r="D14" s="2015"/>
      <c r="E14" s="2015"/>
      <c r="F14" s="2016"/>
      <c r="G14" s="1211"/>
      <c r="H14" s="1212"/>
      <c r="I14" s="1211">
        <f t="shared" si="0"/>
        <v>0</v>
      </c>
      <c r="J14" s="1211"/>
      <c r="K14" s="1211">
        <f>+I14*(1+'F18_O&amp;M_WPI'!I$22)</f>
        <v>0</v>
      </c>
      <c r="L14" s="1211">
        <f>+K14*(1+'F18_O&amp;M_WPI'!J$22)</f>
        <v>0</v>
      </c>
    </row>
    <row r="15" spans="1:12">
      <c r="A15" s="1209">
        <f t="shared" si="1"/>
        <v>8</v>
      </c>
      <c r="B15" s="1210" t="s">
        <v>114</v>
      </c>
      <c r="C15" s="2014"/>
      <c r="D15" s="2015"/>
      <c r="E15" s="2015"/>
      <c r="F15" s="2016"/>
      <c r="G15" s="1211"/>
      <c r="H15" s="1212">
        <f>+'[3]True-up'!$F$129</f>
        <v>0.3480896</v>
      </c>
      <c r="I15" s="1211">
        <f t="shared" si="0"/>
        <v>0.3480896</v>
      </c>
      <c r="J15" s="1211"/>
      <c r="K15" s="1211">
        <f>+I15*(1+'F18_O&amp;M_WPI'!I$22)</f>
        <v>0.36080082464642665</v>
      </c>
      <c r="L15" s="1211">
        <f>+K15*(1+'F18_O&amp;M_WPI'!J$22)</f>
        <v>0.37397622642429279</v>
      </c>
    </row>
    <row r="16" spans="1:12">
      <c r="A16" s="1209">
        <f t="shared" si="1"/>
        <v>9</v>
      </c>
      <c r="B16" s="1210" t="s">
        <v>115</v>
      </c>
      <c r="C16" s="2014"/>
      <c r="D16" s="2015"/>
      <c r="E16" s="2015"/>
      <c r="F16" s="2016"/>
      <c r="G16" s="1211"/>
      <c r="H16" s="1212">
        <f>+'[3]True-up'!$F$131</f>
        <v>3.5598916000000001E-2</v>
      </c>
      <c r="I16" s="1211">
        <f t="shared" si="0"/>
        <v>3.5598916000000001E-2</v>
      </c>
      <c r="J16" s="1211"/>
      <c r="K16" s="1211">
        <f>+I16*(1+'F18_O&amp;M_WPI'!I$22)</f>
        <v>3.6898885371234508E-2</v>
      </c>
      <c r="L16" s="1211">
        <f>+K16*(1+'F18_O&amp;M_WPI'!J$22)</f>
        <v>3.8246325861144313E-2</v>
      </c>
    </row>
    <row r="17" spans="1:12">
      <c r="A17" s="1209">
        <f t="shared" si="1"/>
        <v>10</v>
      </c>
      <c r="B17" s="1210" t="s">
        <v>116</v>
      </c>
      <c r="C17" s="2014"/>
      <c r="D17" s="2015"/>
      <c r="E17" s="2015"/>
      <c r="F17" s="2016"/>
      <c r="G17" s="1211"/>
      <c r="H17" s="1212"/>
      <c r="I17" s="1211">
        <f t="shared" si="0"/>
        <v>0</v>
      </c>
      <c r="J17" s="1211"/>
      <c r="K17" s="1211">
        <f>+I17*(1+'F18_O&amp;M_WPI'!I$22)</f>
        <v>0</v>
      </c>
      <c r="L17" s="1211">
        <f>+K17*(1+'F18_O&amp;M_WPI'!J$22)</f>
        <v>0</v>
      </c>
    </row>
    <row r="18" spans="1:12">
      <c r="A18" s="1209">
        <f t="shared" si="1"/>
        <v>11</v>
      </c>
      <c r="B18" s="1210" t="s">
        <v>117</v>
      </c>
      <c r="C18" s="2014"/>
      <c r="D18" s="2015"/>
      <c r="E18" s="2015"/>
      <c r="F18" s="2016"/>
      <c r="G18" s="1211"/>
      <c r="H18" s="1212"/>
      <c r="I18" s="1211">
        <f t="shared" si="0"/>
        <v>0</v>
      </c>
      <c r="J18" s="1211"/>
      <c r="K18" s="1211">
        <f>+I18*(1+'F18_O&amp;M_WPI'!I$22)</f>
        <v>0</v>
      </c>
      <c r="L18" s="1211">
        <f>+K18*(1+'F18_O&amp;M_WPI'!J$22)</f>
        <v>0</v>
      </c>
    </row>
    <row r="19" spans="1:12" ht="31.5">
      <c r="A19" s="1209">
        <f t="shared" si="1"/>
        <v>12</v>
      </c>
      <c r="B19" s="1210" t="s">
        <v>118</v>
      </c>
      <c r="C19" s="2014"/>
      <c r="D19" s="2015"/>
      <c r="E19" s="2015"/>
      <c r="F19" s="2016"/>
      <c r="G19" s="1211"/>
      <c r="H19" s="1212"/>
      <c r="I19" s="1211">
        <f t="shared" si="0"/>
        <v>0</v>
      </c>
      <c r="J19" s="1211"/>
      <c r="K19" s="1211">
        <f>+I19*(1+'F18_O&amp;M_WPI'!I$22)</f>
        <v>0</v>
      </c>
      <c r="L19" s="1211">
        <f>+K19*(1+'F18_O&amp;M_WPI'!J$22)</f>
        <v>0</v>
      </c>
    </row>
    <row r="20" spans="1:12" ht="31.5">
      <c r="A20" s="1209">
        <f t="shared" si="1"/>
        <v>13</v>
      </c>
      <c r="B20" s="1210" t="s">
        <v>119</v>
      </c>
      <c r="C20" s="2014"/>
      <c r="D20" s="2015"/>
      <c r="E20" s="2015"/>
      <c r="F20" s="2016"/>
      <c r="G20" s="1211"/>
      <c r="H20" s="1212"/>
      <c r="I20" s="1211">
        <f t="shared" si="0"/>
        <v>0</v>
      </c>
      <c r="J20" s="1211"/>
      <c r="K20" s="1211">
        <f>+I20*(1+'F18_O&amp;M_WPI'!I$22)</f>
        <v>0</v>
      </c>
      <c r="L20" s="1211">
        <f>+K20*(1+'F18_O&amp;M_WPI'!J$22)</f>
        <v>0</v>
      </c>
    </row>
    <row r="21" spans="1:12">
      <c r="A21" s="1209">
        <f t="shared" si="1"/>
        <v>14</v>
      </c>
      <c r="B21" s="1210" t="s">
        <v>120</v>
      </c>
      <c r="C21" s="2014"/>
      <c r="D21" s="2015"/>
      <c r="E21" s="2015"/>
      <c r="F21" s="2016"/>
      <c r="G21" s="1211"/>
      <c r="H21" s="1212">
        <f>+'[3]True-up'!$F$136</f>
        <v>6.0490000000000001E-4</v>
      </c>
      <c r="I21" s="1211">
        <f t="shared" si="0"/>
        <v>6.0490000000000001E-4</v>
      </c>
      <c r="J21" s="1211"/>
      <c r="K21" s="1211">
        <f>+I21*(1+'F18_O&amp;M_WPI'!I$22)</f>
        <v>6.2698919711655701E-4</v>
      </c>
      <c r="L21" s="1211">
        <f>+K21*(1+'F18_O&amp;M_WPI'!J$22)</f>
        <v>6.4988502777461529E-4</v>
      </c>
    </row>
    <row r="22" spans="1:12">
      <c r="A22" s="1209">
        <f t="shared" si="1"/>
        <v>15</v>
      </c>
      <c r="B22" s="1210" t="s">
        <v>121</v>
      </c>
      <c r="C22" s="2014"/>
      <c r="D22" s="2015"/>
      <c r="E22" s="2015"/>
      <c r="F22" s="2016"/>
      <c r="G22" s="1211"/>
      <c r="H22" s="1212">
        <f>+'[3]True-up'!$F$138</f>
        <v>0.10334297299999999</v>
      </c>
      <c r="I22" s="1211">
        <f t="shared" si="0"/>
        <v>0.10334297299999999</v>
      </c>
      <c r="J22" s="1211"/>
      <c r="K22" s="1211">
        <f>+I22*(1+'F18_O&amp;M_WPI'!I$22)</f>
        <v>0.1071167592476575</v>
      </c>
      <c r="L22" s="1211">
        <f>+K22*(1+'F18_O&amp;M_WPI'!J$22)</f>
        <v>0.11102835324585271</v>
      </c>
    </row>
    <row r="23" spans="1:12">
      <c r="A23" s="1209">
        <f t="shared" si="1"/>
        <v>16</v>
      </c>
      <c r="B23" s="1210" t="s">
        <v>2151</v>
      </c>
      <c r="C23" s="2014"/>
      <c r="D23" s="2015"/>
      <c r="E23" s="2015"/>
      <c r="F23" s="2016"/>
      <c r="G23" s="1211"/>
      <c r="H23" s="1212">
        <f>+'[3]True-up'!$F$137</f>
        <v>1.3407669999999999E-3</v>
      </c>
      <c r="I23" s="1211">
        <f t="shared" si="0"/>
        <v>1.3407669999999999E-3</v>
      </c>
      <c r="J23" s="1211"/>
      <c r="K23" s="1211">
        <f>+I23*(1+'F18_O&amp;M_WPI'!I$22)</f>
        <v>1.3897279299890472E-3</v>
      </c>
      <c r="L23" s="1211">
        <f>+K23*(1+'F18_O&amp;M_WPI'!J$22)</f>
        <v>1.440476771423851E-3</v>
      </c>
    </row>
    <row r="24" spans="1:12">
      <c r="A24" s="1209">
        <f t="shared" si="1"/>
        <v>17</v>
      </c>
      <c r="B24" s="1213" t="s">
        <v>122</v>
      </c>
      <c r="C24" s="2014"/>
      <c r="D24" s="2015"/>
      <c r="E24" s="2015"/>
      <c r="F24" s="2016"/>
      <c r="G24" s="1214"/>
      <c r="H24" s="1215"/>
      <c r="I24" s="1211">
        <f t="shared" si="0"/>
        <v>0</v>
      </c>
      <c r="J24" s="1214"/>
      <c r="K24" s="1211">
        <f>+I24*(1+'F18_O&amp;M_WPI'!I$22)</f>
        <v>0</v>
      </c>
      <c r="L24" s="1211">
        <f>+K24*(1+'F18_O&amp;M_WPI'!J$22)</f>
        <v>0</v>
      </c>
    </row>
    <row r="25" spans="1:12">
      <c r="A25" s="1209">
        <f t="shared" si="1"/>
        <v>18</v>
      </c>
      <c r="B25" s="1213" t="s">
        <v>123</v>
      </c>
      <c r="C25" s="2014"/>
      <c r="D25" s="2015"/>
      <c r="E25" s="2015"/>
      <c r="F25" s="2016"/>
      <c r="G25" s="1214"/>
      <c r="H25" s="1215"/>
      <c r="I25" s="1211">
        <f t="shared" si="0"/>
        <v>0</v>
      </c>
      <c r="J25" s="1214"/>
      <c r="K25" s="1211">
        <f>+I25*(1+'F18_O&amp;M_WPI'!I$22)</f>
        <v>0</v>
      </c>
      <c r="L25" s="1211">
        <f>+K25*(1+'F18_O&amp;M_WPI'!J$22)</f>
        <v>0</v>
      </c>
    </row>
    <row r="26" spans="1:12">
      <c r="A26" s="1209">
        <f t="shared" si="1"/>
        <v>19</v>
      </c>
      <c r="B26" s="1213" t="s">
        <v>124</v>
      </c>
      <c r="C26" s="2014"/>
      <c r="D26" s="2015"/>
      <c r="E26" s="2015"/>
      <c r="F26" s="2016"/>
      <c r="G26" s="1214"/>
      <c r="H26" s="1212"/>
      <c r="I26" s="1211">
        <f t="shared" si="0"/>
        <v>0</v>
      </c>
      <c r="J26" s="1211"/>
      <c r="K26" s="1211">
        <f>+I26*(1+'F18_O&amp;M_WPI'!I$22)</f>
        <v>0</v>
      </c>
      <c r="L26" s="1211">
        <f>+K26*(1+'F18_O&amp;M_WPI'!J$22)</f>
        <v>0</v>
      </c>
    </row>
    <row r="27" spans="1:12">
      <c r="A27" s="1209">
        <f t="shared" si="1"/>
        <v>20</v>
      </c>
      <c r="B27" s="1213" t="s">
        <v>125</v>
      </c>
      <c r="C27" s="2014"/>
      <c r="D27" s="2015"/>
      <c r="E27" s="2015"/>
      <c r="F27" s="2016"/>
      <c r="G27" s="1214"/>
      <c r="H27" s="1215">
        <f>+'[3]True-up'!$F$141</f>
        <v>1.8643890999999999E-2</v>
      </c>
      <c r="I27" s="1211">
        <f t="shared" si="0"/>
        <v>1.8643890999999999E-2</v>
      </c>
      <c r="J27" s="1214"/>
      <c r="K27" s="1211">
        <f>+I27*(1+'F18_O&amp;M_WPI'!I$22)</f>
        <v>1.9324711934565385E-2</v>
      </c>
      <c r="L27" s="1211">
        <f>+K27*(1+'F18_O&amp;M_WPI'!J$22)</f>
        <v>2.0030394479024462E-2</v>
      </c>
    </row>
    <row r="28" spans="1:12">
      <c r="A28" s="1209">
        <f t="shared" si="1"/>
        <v>21</v>
      </c>
      <c r="B28" s="1213" t="s">
        <v>2150</v>
      </c>
      <c r="C28" s="2014"/>
      <c r="D28" s="2015"/>
      <c r="E28" s="2015"/>
      <c r="F28" s="2016"/>
      <c r="G28" s="1214"/>
      <c r="H28" s="1212">
        <f>+'[3]True-up'!$F$133</f>
        <v>2.2740585000000002</v>
      </c>
      <c r="I28" s="1211">
        <f t="shared" si="0"/>
        <v>2.2740585000000002</v>
      </c>
      <c r="J28" s="1211"/>
      <c r="K28" s="1211">
        <f>+I28*(1+'F18_O&amp;M_WPI'!I$22)</f>
        <v>2.3571005341561944</v>
      </c>
      <c r="L28" s="1211">
        <f>+K28*(1+'F18_O&amp;M_WPI'!J$22)</f>
        <v>2.4431750230345508</v>
      </c>
    </row>
    <row r="29" spans="1:12">
      <c r="A29" s="1209">
        <f t="shared" si="1"/>
        <v>22</v>
      </c>
      <c r="B29" s="1216" t="s">
        <v>126</v>
      </c>
      <c r="C29" s="2014"/>
      <c r="D29" s="2015"/>
      <c r="E29" s="2015"/>
      <c r="F29" s="2016"/>
      <c r="G29" s="1217"/>
      <c r="H29" s="1212"/>
      <c r="I29" s="1211">
        <f t="shared" si="0"/>
        <v>0</v>
      </c>
      <c r="J29" s="1211"/>
      <c r="K29" s="1211">
        <f>+I29*(1+'F18_O&amp;M_WPI'!I$22)</f>
        <v>0</v>
      </c>
      <c r="L29" s="1211">
        <f>+K29*(1+'F18_O&amp;M_WPI'!J$22)</f>
        <v>0</v>
      </c>
    </row>
    <row r="30" spans="1:12">
      <c r="A30" s="1209">
        <f t="shared" si="1"/>
        <v>23</v>
      </c>
      <c r="B30" s="1216" t="s">
        <v>127</v>
      </c>
      <c r="C30" s="2014"/>
      <c r="D30" s="2015"/>
      <c r="E30" s="2015"/>
      <c r="F30" s="2016"/>
      <c r="G30" s="1217"/>
      <c r="H30" s="1212"/>
      <c r="I30" s="1211">
        <f t="shared" si="0"/>
        <v>0</v>
      </c>
      <c r="J30" s="1211"/>
      <c r="K30" s="1211">
        <f>+I30*(1+'F18_O&amp;M_WPI'!I$22)</f>
        <v>0</v>
      </c>
      <c r="L30" s="1211">
        <f>+K30*(1+'F18_O&amp;M_WPI'!J$22)</f>
        <v>0</v>
      </c>
    </row>
    <row r="31" spans="1:12">
      <c r="A31" s="1209">
        <f t="shared" si="1"/>
        <v>24</v>
      </c>
      <c r="B31" s="1216" t="s">
        <v>128</v>
      </c>
      <c r="C31" s="2014"/>
      <c r="D31" s="2015"/>
      <c r="E31" s="2015"/>
      <c r="F31" s="2016"/>
      <c r="G31" s="1217"/>
      <c r="H31" s="1212"/>
      <c r="I31" s="1211">
        <f t="shared" si="0"/>
        <v>0</v>
      </c>
      <c r="J31" s="1211"/>
      <c r="K31" s="1211">
        <f>+I31*(1+'F18_O&amp;M_WPI'!I$22)</f>
        <v>0</v>
      </c>
      <c r="L31" s="1211">
        <f>+K31*(1+'F18_O&amp;M_WPI'!J$22)</f>
        <v>0</v>
      </c>
    </row>
    <row r="32" spans="1:12" ht="31.5">
      <c r="A32" s="1209">
        <f t="shared" si="1"/>
        <v>25</v>
      </c>
      <c r="B32" s="1213" t="s">
        <v>129</v>
      </c>
      <c r="C32" s="2014"/>
      <c r="D32" s="2015"/>
      <c r="E32" s="2015"/>
      <c r="F32" s="2016"/>
      <c r="G32" s="1211"/>
      <c r="H32" s="1212"/>
      <c r="I32" s="1211">
        <f t="shared" si="0"/>
        <v>0</v>
      </c>
      <c r="J32" s="1211"/>
      <c r="K32" s="1211">
        <f>+I32*(1+'F18_O&amp;M_WPI'!I$22)</f>
        <v>0</v>
      </c>
      <c r="L32" s="1211">
        <f>+K32*(1+'F18_O&amp;M_WPI'!J$22)</f>
        <v>0</v>
      </c>
    </row>
    <row r="33" spans="1:12" ht="31.5">
      <c r="A33" s="1209">
        <f t="shared" si="1"/>
        <v>26</v>
      </c>
      <c r="B33" s="1213" t="s">
        <v>130</v>
      </c>
      <c r="C33" s="2014"/>
      <c r="D33" s="2015"/>
      <c r="E33" s="2015"/>
      <c r="F33" s="2016"/>
      <c r="G33" s="1211"/>
      <c r="H33" s="1212"/>
      <c r="I33" s="1211">
        <f t="shared" si="0"/>
        <v>0</v>
      </c>
      <c r="J33" s="1211"/>
      <c r="K33" s="1211">
        <f>+I33*(1+'F18_O&amp;M_WPI'!I$22)</f>
        <v>0</v>
      </c>
      <c r="L33" s="1211">
        <f>+K33*(1+'F18_O&amp;M_WPI'!J$22)</f>
        <v>0</v>
      </c>
    </row>
    <row r="34" spans="1:12">
      <c r="A34" s="1209">
        <f t="shared" si="1"/>
        <v>27</v>
      </c>
      <c r="B34" s="1213" t="s">
        <v>131</v>
      </c>
      <c r="C34" s="2014"/>
      <c r="D34" s="2015"/>
      <c r="E34" s="2015"/>
      <c r="F34" s="2016"/>
      <c r="G34" s="1211"/>
      <c r="H34" s="1212"/>
      <c r="I34" s="1211">
        <f t="shared" si="0"/>
        <v>0</v>
      </c>
      <c r="J34" s="1211"/>
      <c r="K34" s="1211">
        <f>+I34*(1+'F18_O&amp;M_WPI'!I$22)</f>
        <v>0</v>
      </c>
      <c r="L34" s="1211">
        <f>+K34*(1+'F18_O&amp;M_WPI'!J$22)</f>
        <v>0</v>
      </c>
    </row>
    <row r="35" spans="1:12">
      <c r="A35" s="1209">
        <f t="shared" si="1"/>
        <v>28</v>
      </c>
      <c r="B35" s="1213" t="s">
        <v>132</v>
      </c>
      <c r="C35" s="2014"/>
      <c r="D35" s="2015"/>
      <c r="E35" s="2015"/>
      <c r="F35" s="2016"/>
      <c r="G35" s="1211"/>
      <c r="H35" s="1212"/>
      <c r="I35" s="1211">
        <f t="shared" si="0"/>
        <v>0</v>
      </c>
      <c r="J35" s="1211"/>
      <c r="K35" s="1211">
        <f>+I35*(1+'F18_O&amp;M_WPI'!I$22)</f>
        <v>0</v>
      </c>
      <c r="L35" s="1211">
        <f>+K35*(1+'F18_O&amp;M_WPI'!J$22)</f>
        <v>0</v>
      </c>
    </row>
    <row r="36" spans="1:12">
      <c r="A36" s="1209">
        <f t="shared" si="1"/>
        <v>29</v>
      </c>
      <c r="B36" s="1213" t="s">
        <v>133</v>
      </c>
      <c r="C36" s="2014"/>
      <c r="D36" s="2015"/>
      <c r="E36" s="2015"/>
      <c r="F36" s="2016"/>
      <c r="G36" s="1211"/>
      <c r="H36" s="1212"/>
      <c r="I36" s="1211">
        <f t="shared" si="0"/>
        <v>0</v>
      </c>
      <c r="J36" s="1211"/>
      <c r="K36" s="1211">
        <f>+I36*(1+'F18_O&amp;M_WPI'!I$22)</f>
        <v>0</v>
      </c>
      <c r="L36" s="1211">
        <f>+K36*(1+'F18_O&amp;M_WPI'!J$22)</f>
        <v>0</v>
      </c>
    </row>
    <row r="37" spans="1:12">
      <c r="A37" s="1209">
        <f t="shared" si="1"/>
        <v>30</v>
      </c>
      <c r="B37" s="1213" t="s">
        <v>134</v>
      </c>
      <c r="C37" s="2014"/>
      <c r="D37" s="2015"/>
      <c r="E37" s="2015"/>
      <c r="F37" s="2016"/>
      <c r="G37" s="1211"/>
      <c r="H37" s="1212"/>
      <c r="I37" s="1211">
        <f t="shared" si="0"/>
        <v>0</v>
      </c>
      <c r="J37" s="1211"/>
      <c r="K37" s="1211">
        <f>+I37*(1+'F18_O&amp;M_WPI'!I$22)</f>
        <v>0</v>
      </c>
      <c r="L37" s="1211">
        <f>+K37*(1+'F18_O&amp;M_WPI'!J$22)</f>
        <v>0</v>
      </c>
    </row>
    <row r="38" spans="1:12">
      <c r="A38" s="1209">
        <f t="shared" si="1"/>
        <v>31</v>
      </c>
      <c r="B38" s="1213" t="s">
        <v>135</v>
      </c>
      <c r="C38" s="2014"/>
      <c r="D38" s="2015"/>
      <c r="E38" s="2015"/>
      <c r="F38" s="2016"/>
      <c r="G38" s="1211"/>
      <c r="H38" s="1212"/>
      <c r="I38" s="1211">
        <f t="shared" si="0"/>
        <v>0</v>
      </c>
      <c r="J38" s="1211"/>
      <c r="K38" s="1211">
        <f>+I38*(1+'F18_O&amp;M_WPI'!I$22)</f>
        <v>0</v>
      </c>
      <c r="L38" s="1211">
        <f>+K38*(1+'F18_O&amp;M_WPI'!J$22)</f>
        <v>0</v>
      </c>
    </row>
    <row r="39" spans="1:12">
      <c r="A39" s="1209">
        <v>32</v>
      </c>
      <c r="B39" s="1213" t="s">
        <v>2090</v>
      </c>
      <c r="C39" s="2014"/>
      <c r="D39" s="2015"/>
      <c r="E39" s="2015"/>
      <c r="F39" s="2016"/>
      <c r="G39" s="1211"/>
      <c r="H39" s="1212">
        <f>+'[3]True-up'!$F$139</f>
        <v>8.3940000000000001E-2</v>
      </c>
      <c r="I39" s="1211">
        <f t="shared" si="0"/>
        <v>8.3940000000000001E-2</v>
      </c>
      <c r="J39" s="1211"/>
      <c r="K39" s="1211">
        <f>+I39*(1+'F18_O&amp;M_WPI'!I$22)</f>
        <v>8.7005245835615461E-2</v>
      </c>
      <c r="L39" s="1211">
        <f>+K39*(1+'F18_O&amp;M_WPI'!J$22)</f>
        <v>9.0182425576791542E-2</v>
      </c>
    </row>
    <row r="40" spans="1:12">
      <c r="A40" s="1209">
        <v>33</v>
      </c>
      <c r="B40" s="1213" t="s">
        <v>2091</v>
      </c>
      <c r="C40" s="2014"/>
      <c r="D40" s="2015"/>
      <c r="E40" s="2015"/>
      <c r="F40" s="2016"/>
      <c r="G40" s="1211"/>
      <c r="H40" s="1212"/>
      <c r="I40" s="1211">
        <f t="shared" si="0"/>
        <v>0</v>
      </c>
      <c r="J40" s="1211"/>
      <c r="K40" s="1211">
        <f>+I40*(1+'F18_O&amp;M_WPI'!I$22)</f>
        <v>0</v>
      </c>
      <c r="L40" s="1211">
        <f>+K40*(1+'F18_O&amp;M_WPI'!J$22)</f>
        <v>0</v>
      </c>
    </row>
    <row r="41" spans="1:12" ht="63">
      <c r="A41" s="1209">
        <v>34</v>
      </c>
      <c r="B41" s="1213" t="s">
        <v>633</v>
      </c>
      <c r="C41" s="2017"/>
      <c r="D41" s="2018"/>
      <c r="E41" s="2018"/>
      <c r="F41" s="2019"/>
      <c r="G41" s="1211"/>
      <c r="H41" s="1212"/>
      <c r="I41" s="1211">
        <f t="shared" si="0"/>
        <v>0</v>
      </c>
      <c r="J41" s="1211"/>
      <c r="K41" s="1211">
        <f>+I41*(1+'F18_O&amp;M_WPI'!I$22)</f>
        <v>0</v>
      </c>
      <c r="L41" s="1211">
        <f>+K41*(1+'F18_O&amp;M_WPI'!J$22)</f>
        <v>0</v>
      </c>
    </row>
    <row r="42" spans="1:12" ht="31.5">
      <c r="A42" s="1209">
        <v>35</v>
      </c>
      <c r="B42" s="1213" t="s">
        <v>2152</v>
      </c>
      <c r="C42" s="1218"/>
      <c r="D42" s="1219"/>
      <c r="E42" s="1219"/>
      <c r="F42" s="1220"/>
      <c r="G42" s="1211"/>
      <c r="H42" s="1212">
        <f>+'[3]True-up'!F143</f>
        <v>0.19287463731506843</v>
      </c>
      <c r="I42" s="1211">
        <f t="shared" si="0"/>
        <v>0.19287463731506843</v>
      </c>
      <c r="J42" s="1211"/>
      <c r="K42" s="1211">
        <f>+I42*(1+'F18_O&amp;M_WPI'!I$22)</f>
        <v>0.19991786079405172</v>
      </c>
      <c r="L42" s="1211">
        <f>+K42*(1+'F18_O&amp;M_WPI'!J$22)</f>
        <v>0.20721828240787252</v>
      </c>
    </row>
    <row r="43" spans="1:12" ht="31.5">
      <c r="A43" s="1209">
        <v>36</v>
      </c>
      <c r="B43" s="1213" t="s">
        <v>2153</v>
      </c>
      <c r="C43" s="1218"/>
      <c r="D43" s="1219"/>
      <c r="E43" s="1219"/>
      <c r="F43" s="1220"/>
      <c r="G43" s="1211"/>
      <c r="H43" s="1212">
        <f>-'[3]True-up'!F144</f>
        <v>-4.4249999999999998E-2</v>
      </c>
      <c r="I43" s="1211">
        <f t="shared" si="0"/>
        <v>-4.4249999999999998E-2</v>
      </c>
      <c r="J43" s="1211"/>
      <c r="K43" s="1211">
        <f>+I43*(1+'F18_O&amp;M_WPI'!I$22)</f>
        <v>-4.586588191834625E-2</v>
      </c>
      <c r="L43" s="1211">
        <f>+K43*(1+'F18_O&amp;M_WPI'!J$22)</f>
        <v>-4.7540771167179245E-2</v>
      </c>
    </row>
    <row r="44" spans="1:12">
      <c r="A44" s="1221">
        <v>37</v>
      </c>
      <c r="B44" s="1222" t="s">
        <v>136</v>
      </c>
      <c r="C44" s="1223">
        <f>SUM(C8:C41)</f>
        <v>0</v>
      </c>
      <c r="D44" s="1223">
        <f>SUM(D8:D41)</f>
        <v>0</v>
      </c>
      <c r="E44" s="1223">
        <f>SUM(E8:E41)</f>
        <v>0</v>
      </c>
      <c r="F44" s="1223">
        <f>SUM(F8:F41)</f>
        <v>0</v>
      </c>
      <c r="G44" s="1224">
        <f>SUM(G8:G43)</f>
        <v>0</v>
      </c>
      <c r="H44" s="1224">
        <f>SUM(H8:H43)</f>
        <v>3.1162040363150689</v>
      </c>
      <c r="I44" s="1224">
        <f t="shared" ref="I44:L44" si="2">SUM(I8:I43)</f>
        <v>3.1162040363150689</v>
      </c>
      <c r="J44" s="1224">
        <f t="shared" si="2"/>
        <v>0</v>
      </c>
      <c r="K44" s="1224">
        <f t="shared" si="2"/>
        <v>3.2299987878666871</v>
      </c>
      <c r="L44" s="1224">
        <f t="shared" si="2"/>
        <v>3.3479489943659884</v>
      </c>
    </row>
    <row r="45" spans="1:12">
      <c r="A45" s="1221">
        <v>38</v>
      </c>
      <c r="B45" s="1225" t="s">
        <v>137</v>
      </c>
      <c r="C45" s="1226"/>
      <c r="D45" s="1226"/>
      <c r="E45" s="1227"/>
      <c r="F45" s="1228"/>
      <c r="G45" s="1228"/>
      <c r="H45" s="1229"/>
      <c r="I45" s="1228"/>
      <c r="J45" s="1228"/>
      <c r="K45" s="1228"/>
      <c r="L45" s="1228"/>
    </row>
    <row r="46" spans="1:12">
      <c r="A46" s="1221">
        <v>39</v>
      </c>
      <c r="B46" s="1222" t="s">
        <v>136</v>
      </c>
      <c r="C46" s="1230"/>
      <c r="D46" s="1230"/>
      <c r="E46" s="1230"/>
      <c r="F46" s="1223">
        <f>+F44-F45</f>
        <v>0</v>
      </c>
      <c r="G46" s="1230"/>
      <c r="H46" s="1224">
        <f>+H44-H45</f>
        <v>3.1162040363150689</v>
      </c>
      <c r="I46" s="1224">
        <f t="shared" ref="I46:L46" si="3">+I44-I45</f>
        <v>3.1162040363150689</v>
      </c>
      <c r="J46" s="1224">
        <f t="shared" si="3"/>
        <v>0</v>
      </c>
      <c r="K46" s="1224">
        <f t="shared" si="3"/>
        <v>3.2299987878666871</v>
      </c>
      <c r="L46" s="1224">
        <f t="shared" si="3"/>
        <v>3.3479489943659884</v>
      </c>
    </row>
    <row r="47" spans="1:12">
      <c r="A47" s="1231"/>
      <c r="B47" s="1232"/>
      <c r="C47" s="1232"/>
      <c r="D47" s="1232"/>
      <c r="E47" s="1232"/>
      <c r="F47" s="1233"/>
      <c r="G47" s="1234"/>
      <c r="H47" s="1235"/>
      <c r="I47" s="1234"/>
      <c r="J47" s="1234"/>
    </row>
    <row r="48" spans="1:12">
      <c r="A48" s="1231"/>
      <c r="B48" s="1232"/>
      <c r="C48" s="1232"/>
      <c r="D48" s="1232"/>
      <c r="E48" s="1232"/>
      <c r="F48" s="1232"/>
      <c r="G48" s="1231"/>
      <c r="H48" s="1236"/>
      <c r="I48" s="1231"/>
      <c r="J48" s="1231"/>
    </row>
    <row r="49" spans="1:10">
      <c r="A49" s="1231"/>
      <c r="B49" s="1232"/>
      <c r="C49" s="1232"/>
      <c r="D49" s="1232"/>
      <c r="E49" s="1232"/>
      <c r="F49" s="1232"/>
      <c r="G49" s="1231"/>
    </row>
    <row r="50" spans="1:10">
      <c r="A50" s="1231"/>
      <c r="B50" s="1232"/>
      <c r="C50" s="1232"/>
      <c r="D50" s="1232"/>
      <c r="E50" s="1232"/>
      <c r="F50" s="1232"/>
      <c r="G50" s="2002"/>
      <c r="H50" s="2002"/>
      <c r="I50" s="2002"/>
      <c r="J50" s="1237"/>
    </row>
  </sheetData>
  <mergeCells count="15">
    <mergeCell ref="A1:B1"/>
    <mergeCell ref="G6:I6"/>
    <mergeCell ref="J5:K5"/>
    <mergeCell ref="J6:K6"/>
    <mergeCell ref="G50:I50"/>
    <mergeCell ref="A2:I2"/>
    <mergeCell ref="H4:I4"/>
    <mergeCell ref="A5:A7"/>
    <mergeCell ref="B5:B7"/>
    <mergeCell ref="G5:I5"/>
    <mergeCell ref="H3:I3"/>
    <mergeCell ref="C5:F5"/>
    <mergeCell ref="K3:L3"/>
    <mergeCell ref="K4:L4"/>
    <mergeCell ref="C8:F41"/>
  </mergeCells>
  <printOptions horizontalCentered="1"/>
  <pageMargins left="0.51181102362204722" right="0.51181102362204722" top="0.55118110236220474" bottom="0.55118110236220474" header="0.31496062992125984" footer="0.31496062992125984"/>
  <pageSetup paperSize="5" scale="5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FFFF"/>
    <pageSetUpPr fitToPage="1"/>
  </sheetPr>
  <dimension ref="A1:Z97"/>
  <sheetViews>
    <sheetView showGridLines="0" view="pageBreakPreview" topLeftCell="A86" zoomScale="106" zoomScaleNormal="86" zoomScaleSheetLayoutView="106" workbookViewId="0">
      <selection activeCell="C51" sqref="C51"/>
    </sheetView>
  </sheetViews>
  <sheetFormatPr defaultColWidth="9.19921875" defaultRowHeight="13.15"/>
  <cols>
    <col min="1" max="1" width="38.19921875" style="523" customWidth="1"/>
    <col min="2" max="33" width="12.1328125" style="523" customWidth="1"/>
    <col min="34" max="16384" width="9.19921875" style="523"/>
  </cols>
  <sheetData>
    <row r="1" spans="1:9">
      <c r="A1" s="2020" t="s">
        <v>1822</v>
      </c>
      <c r="B1" s="2020"/>
      <c r="C1" s="496"/>
      <c r="D1" s="496"/>
      <c r="E1" s="496"/>
    </row>
    <row r="2" spans="1:9">
      <c r="A2" s="682" t="s">
        <v>27</v>
      </c>
      <c r="B2" s="682"/>
      <c r="C2" s="682"/>
      <c r="D2" s="2021"/>
      <c r="E2" s="2021"/>
      <c r="F2" s="683"/>
      <c r="G2" s="684"/>
      <c r="H2" s="684"/>
      <c r="I2" s="684"/>
    </row>
    <row r="3" spans="1:9">
      <c r="A3" s="525" t="str">
        <f>+'BS1'!A2</f>
        <v>NIDP DEVELOPERS PRIVATE LIMITED</v>
      </c>
      <c r="B3" s="524"/>
      <c r="C3" s="526"/>
      <c r="D3" s="524"/>
      <c r="E3" s="527"/>
      <c r="F3" s="528"/>
      <c r="G3" s="527"/>
      <c r="H3" s="524"/>
      <c r="I3" s="524"/>
    </row>
    <row r="4" spans="1:9">
      <c r="A4" s="529" t="s">
        <v>1796</v>
      </c>
      <c r="B4" s="524"/>
      <c r="C4" s="526"/>
      <c r="D4" s="524"/>
      <c r="E4" s="527"/>
      <c r="F4" s="528"/>
      <c r="G4" s="527"/>
      <c r="H4" s="524"/>
      <c r="I4" s="524"/>
    </row>
    <row r="5" spans="1:9">
      <c r="A5" s="529"/>
      <c r="B5" s="2025" t="s">
        <v>2092</v>
      </c>
      <c r="C5" s="2025"/>
      <c r="D5" s="2025"/>
      <c r="E5" s="2025"/>
      <c r="F5" s="2025"/>
      <c r="G5" s="2025"/>
      <c r="H5" s="2025"/>
      <c r="I5" s="2025"/>
    </row>
    <row r="6" spans="1:9" ht="15" customHeight="1">
      <c r="A6" s="2028" t="s">
        <v>634</v>
      </c>
      <c r="B6" s="2022" t="s">
        <v>635</v>
      </c>
      <c r="C6" s="2023"/>
      <c r="D6" s="2023"/>
      <c r="E6" s="2024"/>
      <c r="F6" s="2022" t="s">
        <v>21</v>
      </c>
      <c r="G6" s="2023"/>
      <c r="H6" s="2024"/>
      <c r="I6" s="2026" t="s">
        <v>636</v>
      </c>
    </row>
    <row r="7" spans="1:9" ht="52.5">
      <c r="A7" s="2029"/>
      <c r="B7" s="500" t="s">
        <v>637</v>
      </c>
      <c r="C7" s="500" t="s">
        <v>219</v>
      </c>
      <c r="D7" s="500" t="s">
        <v>324</v>
      </c>
      <c r="E7" s="500" t="s">
        <v>638</v>
      </c>
      <c r="F7" s="500" t="s">
        <v>1604</v>
      </c>
      <c r="G7" s="500" t="s">
        <v>1603</v>
      </c>
      <c r="H7" s="500" t="s">
        <v>1605</v>
      </c>
      <c r="I7" s="2026"/>
    </row>
    <row r="8" spans="1:9">
      <c r="A8" s="497" t="s">
        <v>2155</v>
      </c>
      <c r="B8" s="2032" t="s">
        <v>2062</v>
      </c>
      <c r="C8" s="2033"/>
      <c r="D8" s="2033"/>
      <c r="E8" s="2033"/>
      <c r="F8" s="2033"/>
      <c r="G8" s="2033"/>
      <c r="H8" s="2033"/>
      <c r="I8" s="2034"/>
    </row>
    <row r="9" spans="1:9">
      <c r="A9" s="494" t="s">
        <v>2156</v>
      </c>
      <c r="B9" s="2035"/>
      <c r="C9" s="2036"/>
      <c r="D9" s="2036"/>
      <c r="E9" s="2036"/>
      <c r="F9" s="2036"/>
      <c r="G9" s="2036"/>
      <c r="H9" s="2036"/>
      <c r="I9" s="2037"/>
    </row>
    <row r="10" spans="1:9">
      <c r="A10" s="494" t="s">
        <v>2157</v>
      </c>
      <c r="B10" s="2035"/>
      <c r="C10" s="2036"/>
      <c r="D10" s="2036"/>
      <c r="E10" s="2036"/>
      <c r="F10" s="2036"/>
      <c r="G10" s="2036"/>
      <c r="H10" s="2036"/>
      <c r="I10" s="2037"/>
    </row>
    <row r="11" spans="1:9" s="531" customFormat="1">
      <c r="A11" s="494" t="s">
        <v>2158</v>
      </c>
      <c r="B11" s="2035"/>
      <c r="C11" s="2036"/>
      <c r="D11" s="2036"/>
      <c r="E11" s="2036"/>
      <c r="F11" s="2036"/>
      <c r="G11" s="2036"/>
      <c r="H11" s="2036"/>
      <c r="I11" s="2037"/>
    </row>
    <row r="12" spans="1:9">
      <c r="A12" s="611" t="s">
        <v>2159</v>
      </c>
      <c r="B12" s="2035"/>
      <c r="C12" s="2036"/>
      <c r="D12" s="2036"/>
      <c r="E12" s="2036"/>
      <c r="F12" s="2036"/>
      <c r="G12" s="2036"/>
      <c r="H12" s="2036"/>
      <c r="I12" s="2037"/>
    </row>
    <row r="13" spans="1:9">
      <c r="A13" s="611" t="s">
        <v>2160</v>
      </c>
      <c r="B13" s="2035"/>
      <c r="C13" s="2036"/>
      <c r="D13" s="2036"/>
      <c r="E13" s="2036"/>
      <c r="F13" s="2036"/>
      <c r="G13" s="2036"/>
      <c r="H13" s="2036"/>
      <c r="I13" s="2037"/>
    </row>
    <row r="14" spans="1:9">
      <c r="A14" s="494" t="s">
        <v>2161</v>
      </c>
      <c r="B14" s="2035"/>
      <c r="C14" s="2036"/>
      <c r="D14" s="2036"/>
      <c r="E14" s="2036"/>
      <c r="F14" s="2036"/>
      <c r="G14" s="2036"/>
      <c r="H14" s="2036"/>
      <c r="I14" s="2037"/>
    </row>
    <row r="15" spans="1:9">
      <c r="A15" s="494" t="s">
        <v>2162</v>
      </c>
      <c r="B15" s="2035"/>
      <c r="C15" s="2036"/>
      <c r="D15" s="2036"/>
      <c r="E15" s="2036"/>
      <c r="F15" s="2036"/>
      <c r="G15" s="2036"/>
      <c r="H15" s="2036"/>
      <c r="I15" s="2037"/>
    </row>
    <row r="16" spans="1:9">
      <c r="A16" s="494" t="s">
        <v>2163</v>
      </c>
      <c r="B16" s="2035"/>
      <c r="C16" s="2036"/>
      <c r="D16" s="2036"/>
      <c r="E16" s="2036"/>
      <c r="F16" s="2036"/>
      <c r="G16" s="2036"/>
      <c r="H16" s="2036"/>
      <c r="I16" s="2037"/>
    </row>
    <row r="17" spans="1:9">
      <c r="A17" s="494" t="s">
        <v>2164</v>
      </c>
      <c r="B17" s="2035"/>
      <c r="C17" s="2036"/>
      <c r="D17" s="2036"/>
      <c r="E17" s="2036"/>
      <c r="F17" s="2036"/>
      <c r="G17" s="2036"/>
      <c r="H17" s="2036"/>
      <c r="I17" s="2037"/>
    </row>
    <row r="18" spans="1:9">
      <c r="A18" s="494" t="s">
        <v>2165</v>
      </c>
      <c r="B18" s="2035"/>
      <c r="C18" s="2036"/>
      <c r="D18" s="2036"/>
      <c r="E18" s="2036"/>
      <c r="F18" s="2036"/>
      <c r="G18" s="2036"/>
      <c r="H18" s="2036"/>
      <c r="I18" s="2037"/>
    </row>
    <row r="19" spans="1:9">
      <c r="A19" s="494" t="s">
        <v>2166</v>
      </c>
      <c r="B19" s="2035"/>
      <c r="C19" s="2036"/>
      <c r="D19" s="2036"/>
      <c r="E19" s="2036"/>
      <c r="F19" s="2036"/>
      <c r="G19" s="2036"/>
      <c r="H19" s="2036"/>
      <c r="I19" s="2037"/>
    </row>
    <row r="20" spans="1:9">
      <c r="A20" s="610" t="s">
        <v>2167</v>
      </c>
      <c r="B20" s="2038"/>
      <c r="C20" s="2039"/>
      <c r="D20" s="2039"/>
      <c r="E20" s="2039"/>
      <c r="F20" s="2039"/>
      <c r="G20" s="2039"/>
      <c r="H20" s="2039"/>
      <c r="I20" s="2040"/>
    </row>
    <row r="21" spans="1:9">
      <c r="A21" s="855" t="s">
        <v>408</v>
      </c>
      <c r="B21" s="951">
        <f t="shared" ref="B21:D21" si="0">SUM(B8:B20)</f>
        <v>0</v>
      </c>
      <c r="C21" s="951">
        <f t="shared" si="0"/>
        <v>0</v>
      </c>
      <c r="D21" s="951">
        <f t="shared" si="0"/>
        <v>0</v>
      </c>
      <c r="E21" s="951">
        <f>SUM(E8:E20)</f>
        <v>0</v>
      </c>
      <c r="F21" s="951">
        <f t="shared" ref="F21:H21" si="1">SUM(F8:F20)</f>
        <v>0</v>
      </c>
      <c r="G21" s="951">
        <f t="shared" si="1"/>
        <v>0</v>
      </c>
      <c r="H21" s="951">
        <f t="shared" si="1"/>
        <v>0</v>
      </c>
      <c r="I21" s="952"/>
    </row>
    <row r="22" spans="1:9" s="531" customFormat="1">
      <c r="A22" s="501" t="s">
        <v>2096</v>
      </c>
      <c r="B22" s="951">
        <f t="shared" ref="B22:D22" si="2">SUM(B8:B19)</f>
        <v>0</v>
      </c>
      <c r="C22" s="951">
        <f t="shared" si="2"/>
        <v>0</v>
      </c>
      <c r="D22" s="951">
        <f t="shared" si="2"/>
        <v>0</v>
      </c>
      <c r="E22" s="951">
        <f>SUM(E8:E19)</f>
        <v>0</v>
      </c>
      <c r="F22" s="951">
        <f t="shared" ref="F22:H22" si="3">SUM(F8:F19)</f>
        <v>0</v>
      </c>
      <c r="G22" s="951">
        <f t="shared" si="3"/>
        <v>0</v>
      </c>
      <c r="H22" s="951">
        <f t="shared" si="3"/>
        <v>0</v>
      </c>
      <c r="I22" s="951"/>
    </row>
    <row r="23" spans="1:9">
      <c r="A23" s="613" t="s">
        <v>1405</v>
      </c>
      <c r="B23" s="949"/>
      <c r="C23" s="949"/>
      <c r="D23" s="949"/>
      <c r="E23" s="949"/>
      <c r="F23" s="949"/>
      <c r="G23" s="949"/>
      <c r="H23" s="949"/>
      <c r="I23" s="949"/>
    </row>
    <row r="24" spans="1:9">
      <c r="A24" s="613" t="s">
        <v>1387</v>
      </c>
      <c r="B24" s="949"/>
      <c r="C24" s="949"/>
      <c r="D24" s="949"/>
      <c r="E24" s="949"/>
      <c r="F24" s="949"/>
      <c r="G24" s="949"/>
      <c r="H24" s="949"/>
      <c r="I24" s="949"/>
    </row>
    <row r="25" spans="1:9">
      <c r="A25" s="613" t="s">
        <v>1388</v>
      </c>
      <c r="B25" s="949"/>
      <c r="C25" s="949"/>
      <c r="D25" s="949"/>
      <c r="E25" s="949"/>
      <c r="F25" s="949"/>
      <c r="G25" s="949"/>
      <c r="H25" s="949"/>
      <c r="I25" s="949"/>
    </row>
    <row r="26" spans="1:9" s="532" customFormat="1">
      <c r="A26" s="614" t="s">
        <v>143</v>
      </c>
      <c r="B26" s="953">
        <f>+B22-SUM(B23:B25)</f>
        <v>0</v>
      </c>
      <c r="C26" s="953">
        <f t="shared" ref="C26:H26" si="4">+C22-SUM(C23:C25)</f>
        <v>0</v>
      </c>
      <c r="D26" s="953">
        <f t="shared" si="4"/>
        <v>0</v>
      </c>
      <c r="E26" s="953">
        <f t="shared" si="4"/>
        <v>0</v>
      </c>
      <c r="F26" s="953">
        <f t="shared" si="4"/>
        <v>0</v>
      </c>
      <c r="G26" s="953">
        <f t="shared" si="4"/>
        <v>0</v>
      </c>
      <c r="H26" s="953">
        <f t="shared" si="4"/>
        <v>0</v>
      </c>
      <c r="I26" s="953"/>
    </row>
    <row r="27" spans="1:9">
      <c r="A27" s="2027" t="s">
        <v>1606</v>
      </c>
      <c r="B27" s="2027"/>
      <c r="C27" s="2027"/>
      <c r="D27" s="2027"/>
      <c r="E27" s="857"/>
      <c r="F27" s="563"/>
      <c r="G27" s="563"/>
      <c r="H27" s="856"/>
      <c r="I27" s="563"/>
    </row>
    <row r="28" spans="1:9">
      <c r="A28" s="2030" t="s">
        <v>1406</v>
      </c>
      <c r="B28" s="2030"/>
      <c r="C28" s="2030"/>
      <c r="D28" s="2030"/>
      <c r="E28" s="2030"/>
      <c r="F28" s="2030"/>
      <c r="G28" s="562"/>
      <c r="H28" s="561"/>
      <c r="I28" s="561"/>
    </row>
    <row r="29" spans="1:9">
      <c r="A29" s="2031" t="s">
        <v>1439</v>
      </c>
      <c r="B29" s="2031"/>
      <c r="C29" s="2031"/>
      <c r="D29" s="2031"/>
      <c r="E29" s="2031"/>
      <c r="F29" s="2031"/>
      <c r="G29" s="530"/>
      <c r="H29" s="533"/>
      <c r="I29" s="533"/>
    </row>
    <row r="30" spans="1:9">
      <c r="A30" s="498"/>
      <c r="B30" s="496"/>
      <c r="C30" s="496"/>
      <c r="D30" s="496"/>
      <c r="E30" s="496"/>
      <c r="F30" s="496"/>
      <c r="G30" s="496"/>
      <c r="H30" s="496"/>
      <c r="I30" s="496"/>
    </row>
    <row r="31" spans="1:9">
      <c r="A31" s="498"/>
      <c r="B31" s="2025" t="s">
        <v>2093</v>
      </c>
      <c r="C31" s="2025"/>
      <c r="D31" s="2025"/>
      <c r="E31" s="2025"/>
      <c r="F31" s="2025"/>
      <c r="G31" s="2025"/>
      <c r="H31" s="2025"/>
      <c r="I31" s="2025"/>
    </row>
    <row r="32" spans="1:9">
      <c r="A32" s="2028" t="s">
        <v>634</v>
      </c>
      <c r="B32" s="2022" t="s">
        <v>635</v>
      </c>
      <c r="C32" s="2023"/>
      <c r="D32" s="2023"/>
      <c r="E32" s="2024"/>
      <c r="F32" s="2022" t="s">
        <v>21</v>
      </c>
      <c r="G32" s="2023"/>
      <c r="H32" s="2024"/>
      <c r="I32" s="2026" t="s">
        <v>636</v>
      </c>
    </row>
    <row r="33" spans="1:26" ht="52.5">
      <c r="A33" s="2029"/>
      <c r="B33" s="500" t="s">
        <v>637</v>
      </c>
      <c r="C33" s="500" t="s">
        <v>219</v>
      </c>
      <c r="D33" s="500" t="s">
        <v>324</v>
      </c>
      <c r="E33" s="500" t="s">
        <v>638</v>
      </c>
      <c r="F33" s="500" t="s">
        <v>1604</v>
      </c>
      <c r="G33" s="500" t="s">
        <v>1603</v>
      </c>
      <c r="H33" s="500" t="s">
        <v>1605</v>
      </c>
      <c r="I33" s="2026"/>
    </row>
    <row r="34" spans="1:26">
      <c r="A34" s="497" t="s">
        <v>2155</v>
      </c>
      <c r="B34" s="572">
        <f t="shared" ref="B34:B46" si="5">+E8</f>
        <v>0</v>
      </c>
      <c r="C34" s="572">
        <f>+[3]CAPEX!D38</f>
        <v>0.43189642699999997</v>
      </c>
      <c r="D34" s="572"/>
      <c r="E34" s="572">
        <f>+B34+C34-D34</f>
        <v>0.43189642699999997</v>
      </c>
      <c r="F34" s="572">
        <f t="shared" ref="F34:F46" si="6">+H8</f>
        <v>0</v>
      </c>
      <c r="G34" s="572">
        <f>+[3]CAPEX!J38</f>
        <v>1.9335891999999993E-2</v>
      </c>
      <c r="H34" s="572">
        <f>+F34+G34</f>
        <v>1.9335891999999993E-2</v>
      </c>
      <c r="I34" s="955">
        <f>+[3]CAPEX!H38</f>
        <v>5.28E-2</v>
      </c>
    </row>
    <row r="35" spans="1:26">
      <c r="A35" s="494" t="s">
        <v>2156</v>
      </c>
      <c r="B35" s="572">
        <f t="shared" si="5"/>
        <v>0</v>
      </c>
      <c r="C35" s="572">
        <f>+[3]CAPEX!D39</f>
        <v>1.6316884345454543</v>
      </c>
      <c r="D35" s="572"/>
      <c r="E35" s="572">
        <f t="shared" ref="E35:E46" si="7">+B35+C35-D35</f>
        <v>1.6316884345454543</v>
      </c>
      <c r="F35" s="572">
        <f t="shared" si="6"/>
        <v>0</v>
      </c>
      <c r="G35" s="572">
        <f>+[3]CAPEX!J39</f>
        <v>7.5580629545454553E-2</v>
      </c>
      <c r="H35" s="572">
        <f t="shared" ref="H35:H46" si="8">+F35+G35</f>
        <v>7.5580629545454553E-2</v>
      </c>
      <c r="I35" s="955">
        <f>+[3]CAPEX!H39</f>
        <v>5.28E-2</v>
      </c>
    </row>
    <row r="36" spans="1:26">
      <c r="A36" s="494" t="s">
        <v>2157</v>
      </c>
      <c r="B36" s="572">
        <f t="shared" si="5"/>
        <v>0</v>
      </c>
      <c r="C36" s="572">
        <f>+[3]CAPEX!D40</f>
        <v>8.3992953000000009E-2</v>
      </c>
      <c r="D36" s="572"/>
      <c r="E36" s="572">
        <f t="shared" si="7"/>
        <v>8.3992953000000009E-2</v>
      </c>
      <c r="F36" s="572">
        <f t="shared" si="6"/>
        <v>0</v>
      </c>
      <c r="G36" s="572">
        <f>+[3]CAPEX!J40</f>
        <v>3.7215170000000014E-3</v>
      </c>
      <c r="H36" s="572">
        <f t="shared" si="8"/>
        <v>3.7215170000000014E-3</v>
      </c>
      <c r="I36" s="955">
        <f>+[3]CAPEX!H40</f>
        <v>0.09</v>
      </c>
    </row>
    <row r="37" spans="1:26">
      <c r="A37" s="494" t="s">
        <v>2158</v>
      </c>
      <c r="B37" s="572">
        <f t="shared" si="5"/>
        <v>0</v>
      </c>
      <c r="C37" s="572">
        <f>+[3]CAPEX!D41</f>
        <v>5.221419622</v>
      </c>
      <c r="D37" s="572"/>
      <c r="E37" s="572">
        <f t="shared" si="7"/>
        <v>5.221419622</v>
      </c>
      <c r="F37" s="572">
        <f t="shared" si="6"/>
        <v>0</v>
      </c>
      <c r="G37" s="572">
        <f>+[3]CAPEX!J41</f>
        <v>0.129340909</v>
      </c>
      <c r="H37" s="572">
        <f t="shared" si="8"/>
        <v>0.129340909</v>
      </c>
      <c r="I37" s="955">
        <f>+[3]CAPEX!H41</f>
        <v>3.3399999999999999E-2</v>
      </c>
      <c r="Z37" s="531"/>
    </row>
    <row r="38" spans="1:26">
      <c r="A38" s="611" t="s">
        <v>2159</v>
      </c>
      <c r="B38" s="572">
        <f t="shared" si="5"/>
        <v>0</v>
      </c>
      <c r="C38" s="572">
        <f>+[3]CAPEX!D42</f>
        <v>2.7492412160000002</v>
      </c>
      <c r="D38" s="572"/>
      <c r="E38" s="572">
        <f t="shared" si="7"/>
        <v>2.7492412160000002</v>
      </c>
      <c r="F38" s="572">
        <f t="shared" si="6"/>
        <v>0</v>
      </c>
      <c r="G38" s="572">
        <f>+[3]CAPEX!J42</f>
        <v>0.15376123600000002</v>
      </c>
      <c r="H38" s="572">
        <f t="shared" si="8"/>
        <v>0.15376123600000002</v>
      </c>
      <c r="I38" s="955">
        <f>+[3]CAPEX!H42</f>
        <v>6.3299999999999995E-2</v>
      </c>
    </row>
    <row r="39" spans="1:26">
      <c r="A39" s="611" t="s">
        <v>2160</v>
      </c>
      <c r="B39" s="572">
        <f t="shared" si="5"/>
        <v>0</v>
      </c>
      <c r="C39" s="572">
        <f>+[3]CAPEX!D43</f>
        <v>0.30950215900000005</v>
      </c>
      <c r="D39" s="572"/>
      <c r="E39" s="572">
        <f t="shared" si="7"/>
        <v>0.30950215900000005</v>
      </c>
      <c r="F39" s="572">
        <f t="shared" si="6"/>
        <v>0</v>
      </c>
      <c r="G39" s="572">
        <f>+[3]CAPEX!J43</f>
        <v>1.7487413E-2</v>
      </c>
      <c r="H39" s="572">
        <f t="shared" si="8"/>
        <v>1.7487413E-2</v>
      </c>
      <c r="I39" s="955">
        <f>+[3]CAPEX!H43</f>
        <v>6.3299999999999995E-2</v>
      </c>
    </row>
    <row r="40" spans="1:26">
      <c r="A40" s="494" t="s">
        <v>2161</v>
      </c>
      <c r="B40" s="572">
        <f t="shared" si="5"/>
        <v>0</v>
      </c>
      <c r="C40" s="572">
        <f>+[3]CAPEX!D44</f>
        <v>2.3262088000000004E-2</v>
      </c>
      <c r="D40" s="572"/>
      <c r="E40" s="572">
        <f t="shared" si="7"/>
        <v>2.3262088000000004E-2</v>
      </c>
      <c r="F40" s="572">
        <f t="shared" si="6"/>
        <v>0</v>
      </c>
      <c r="G40" s="572">
        <f>+[3]CAPEX!J44</f>
        <v>3.1145699999999997E-3</v>
      </c>
      <c r="H40" s="572">
        <f t="shared" si="8"/>
        <v>3.1145699999999997E-3</v>
      </c>
      <c r="I40" s="955">
        <f>+[3]CAPEX!H44</f>
        <v>0.15</v>
      </c>
    </row>
    <row r="41" spans="1:26">
      <c r="A41" s="494" t="s">
        <v>2162</v>
      </c>
      <c r="B41" s="572">
        <f t="shared" si="5"/>
        <v>0</v>
      </c>
      <c r="C41" s="572">
        <f>+[3]CAPEX!D45</f>
        <v>0.31489073300000003</v>
      </c>
      <c r="D41" s="572"/>
      <c r="E41" s="572">
        <f t="shared" si="7"/>
        <v>0.31489073300000003</v>
      </c>
      <c r="F41" s="572">
        <f t="shared" si="6"/>
        <v>0</v>
      </c>
      <c r="G41" s="572">
        <f>+[3]CAPEX!J45</f>
        <v>1.4840617999999996E-2</v>
      </c>
      <c r="H41" s="572">
        <f t="shared" si="8"/>
        <v>1.4840617999999996E-2</v>
      </c>
      <c r="I41" s="955">
        <f>+[3]CAPEX!H45</f>
        <v>5.28E-2</v>
      </c>
    </row>
    <row r="42" spans="1:26">
      <c r="A42" s="494" t="s">
        <v>2163</v>
      </c>
      <c r="B42" s="572">
        <f t="shared" si="5"/>
        <v>0</v>
      </c>
      <c r="C42" s="572">
        <f>+[3]CAPEX!D46</f>
        <v>0.31122897400000005</v>
      </c>
      <c r="D42" s="572"/>
      <c r="E42" s="572">
        <f t="shared" si="7"/>
        <v>0.31122897400000005</v>
      </c>
      <c r="F42" s="572">
        <f t="shared" si="6"/>
        <v>0</v>
      </c>
      <c r="G42" s="572">
        <f>+[3]CAPEX!J46</f>
        <v>1.4611816183333334E-2</v>
      </c>
      <c r="H42" s="572">
        <f t="shared" si="8"/>
        <v>1.4611816183333334E-2</v>
      </c>
      <c r="I42" s="955">
        <f>+[3]CAPEX!H46</f>
        <v>0.09</v>
      </c>
    </row>
    <row r="43" spans="1:26">
      <c r="A43" s="494" t="s">
        <v>2164</v>
      </c>
      <c r="B43" s="572">
        <f t="shared" si="5"/>
        <v>0</v>
      </c>
      <c r="C43" s="572">
        <f>+[3]CAPEX!D47</f>
        <v>37.639763271999996</v>
      </c>
      <c r="D43" s="572"/>
      <c r="E43" s="572">
        <f t="shared" si="7"/>
        <v>37.639763271999996</v>
      </c>
      <c r="F43" s="572">
        <f t="shared" si="6"/>
        <v>0</v>
      </c>
      <c r="G43" s="572">
        <f>+[3]CAPEX!J47</f>
        <v>1.773940388</v>
      </c>
      <c r="H43" s="572">
        <f t="shared" si="8"/>
        <v>1.773940388</v>
      </c>
      <c r="I43" s="955">
        <f>+[3]CAPEX!H47</f>
        <v>5.28E-2</v>
      </c>
    </row>
    <row r="44" spans="1:26">
      <c r="A44" s="494" t="s">
        <v>2165</v>
      </c>
      <c r="B44" s="572">
        <f t="shared" si="5"/>
        <v>0</v>
      </c>
      <c r="C44" s="572">
        <f>+[3]CAPEX!D48</f>
        <v>9.1581650779090893</v>
      </c>
      <c r="D44" s="572"/>
      <c r="E44" s="572">
        <f t="shared" si="7"/>
        <v>9.1581650779090893</v>
      </c>
      <c r="F44" s="572">
        <f t="shared" si="6"/>
        <v>0</v>
      </c>
      <c r="G44" s="572">
        <f>+[3]CAPEX!J48</f>
        <v>0.42645797870692609</v>
      </c>
      <c r="H44" s="572">
        <f t="shared" si="8"/>
        <v>0.42645797870692609</v>
      </c>
      <c r="I44" s="955">
        <f>+[3]CAPEX!H48</f>
        <v>5.28E-2</v>
      </c>
    </row>
    <row r="45" spans="1:26">
      <c r="A45" s="494" t="s">
        <v>2166</v>
      </c>
      <c r="B45" s="572">
        <f t="shared" si="5"/>
        <v>0</v>
      </c>
      <c r="C45" s="572">
        <f>+[3]CAPEX!D49</f>
        <v>13.588930811393938</v>
      </c>
      <c r="D45" s="572"/>
      <c r="E45" s="572">
        <f t="shared" si="7"/>
        <v>13.588930811393938</v>
      </c>
      <c r="F45" s="572">
        <f t="shared" si="6"/>
        <v>0</v>
      </c>
      <c r="G45" s="572">
        <f>+[3]CAPEX!J49</f>
        <v>0.62152470329545462</v>
      </c>
      <c r="H45" s="572">
        <f t="shared" si="8"/>
        <v>0.62152470329545462</v>
      </c>
      <c r="I45" s="955">
        <f>+[3]CAPEX!H49</f>
        <v>5.28E-2</v>
      </c>
    </row>
    <row r="46" spans="1:26">
      <c r="A46" s="610" t="s">
        <v>2167</v>
      </c>
      <c r="B46" s="572">
        <f t="shared" si="5"/>
        <v>0</v>
      </c>
      <c r="C46" s="572">
        <f>+[3]CAPEX!D50</f>
        <v>1.3814585400000001</v>
      </c>
      <c r="D46" s="572"/>
      <c r="E46" s="572">
        <f t="shared" si="7"/>
        <v>1.3814585400000001</v>
      </c>
      <c r="F46" s="572">
        <f t="shared" si="6"/>
        <v>0</v>
      </c>
      <c r="G46" s="572">
        <f>+[3]CAPEX!J50</f>
        <v>7.1007352999999995E-2</v>
      </c>
      <c r="H46" s="572">
        <f t="shared" si="8"/>
        <v>7.1007352999999995E-2</v>
      </c>
      <c r="I46" s="955">
        <f>+[3]CAPEX!H50</f>
        <v>5.28E-2</v>
      </c>
    </row>
    <row r="47" spans="1:26">
      <c r="A47" s="855" t="s">
        <v>408</v>
      </c>
      <c r="B47" s="612">
        <f t="shared" ref="B47" si="9">SUM(B34:B46)</f>
        <v>0</v>
      </c>
      <c r="C47" s="612">
        <f t="shared" ref="C47:H47" si="10">SUM(C34:C46)</f>
        <v>72.845440307848477</v>
      </c>
      <c r="D47" s="612">
        <f t="shared" si="10"/>
        <v>0</v>
      </c>
      <c r="E47" s="612">
        <f t="shared" si="10"/>
        <v>72.845440307848477</v>
      </c>
      <c r="F47" s="612">
        <f t="shared" si="10"/>
        <v>0</v>
      </c>
      <c r="G47" s="612">
        <f t="shared" si="10"/>
        <v>3.324725023731169</v>
      </c>
      <c r="H47" s="612">
        <f t="shared" si="10"/>
        <v>3.324725023731169</v>
      </c>
      <c r="I47" s="573"/>
    </row>
    <row r="48" spans="1:26">
      <c r="A48" s="613" t="s">
        <v>1405</v>
      </c>
      <c r="B48" s="572">
        <f>+E23</f>
        <v>0</v>
      </c>
      <c r="C48" s="572"/>
      <c r="D48" s="572"/>
      <c r="E48" s="572">
        <f t="shared" ref="E48:E50" si="11">+B48+C48-D48</f>
        <v>0</v>
      </c>
      <c r="F48" s="572">
        <f>+H23</f>
        <v>0</v>
      </c>
      <c r="G48" s="572"/>
      <c r="H48" s="572">
        <f t="shared" ref="H48:H50" si="12">+F48+G48</f>
        <v>0</v>
      </c>
      <c r="I48" s="572"/>
    </row>
    <row r="49" spans="1:26">
      <c r="A49" s="613" t="s">
        <v>1387</v>
      </c>
      <c r="B49" s="572">
        <f>+E24</f>
        <v>0</v>
      </c>
      <c r="C49" s="572"/>
      <c r="D49" s="572"/>
      <c r="E49" s="572">
        <f t="shared" si="11"/>
        <v>0</v>
      </c>
      <c r="F49" s="572">
        <f>+H24</f>
        <v>0</v>
      </c>
      <c r="G49" s="572"/>
      <c r="H49" s="572">
        <f t="shared" si="12"/>
        <v>0</v>
      </c>
      <c r="I49" s="572"/>
    </row>
    <row r="50" spans="1:26" ht="26.25">
      <c r="A50" s="954" t="s">
        <v>2168</v>
      </c>
      <c r="B50" s="572">
        <f>+E25</f>
        <v>0</v>
      </c>
      <c r="C50" s="572">
        <f>+[3]CAPEX!$D$53</f>
        <v>35.919103</v>
      </c>
      <c r="D50" s="572"/>
      <c r="E50" s="572">
        <f t="shared" si="11"/>
        <v>35.919103</v>
      </c>
      <c r="F50" s="572">
        <f>+H25</f>
        <v>0</v>
      </c>
      <c r="G50" s="572">
        <f>+[3]CAPEX!$J$53</f>
        <v>1.692846659</v>
      </c>
      <c r="H50" s="572">
        <f t="shared" si="12"/>
        <v>1.692846659</v>
      </c>
      <c r="I50" s="955">
        <f>+[3]CAPEX!H53</f>
        <v>5.28E-2</v>
      </c>
    </row>
    <row r="51" spans="1:26">
      <c r="A51" s="501" t="s">
        <v>143</v>
      </c>
      <c r="B51" s="612">
        <f>+B47-SUM(B48:B50)</f>
        <v>0</v>
      </c>
      <c r="C51" s="612">
        <f t="shared" ref="C51:H51" si="13">+C47-SUM(C48:C50)</f>
        <v>36.926337307848478</v>
      </c>
      <c r="D51" s="612">
        <f t="shared" si="13"/>
        <v>0</v>
      </c>
      <c r="E51" s="612">
        <f t="shared" si="13"/>
        <v>36.926337307848478</v>
      </c>
      <c r="F51" s="612">
        <f t="shared" si="13"/>
        <v>0</v>
      </c>
      <c r="G51" s="612">
        <f t="shared" si="13"/>
        <v>1.631878364731169</v>
      </c>
      <c r="H51" s="612">
        <f t="shared" si="13"/>
        <v>1.631878364731169</v>
      </c>
      <c r="I51" s="612"/>
      <c r="Z51" s="532"/>
    </row>
    <row r="52" spans="1:26">
      <c r="A52" s="532" t="s">
        <v>2169</v>
      </c>
      <c r="C52" s="858"/>
      <c r="G52" s="858"/>
    </row>
    <row r="53" spans="1:26">
      <c r="A53" s="523" t="s">
        <v>335</v>
      </c>
      <c r="C53" s="858"/>
    </row>
    <row r="54" spans="1:26">
      <c r="B54" s="2025" t="s">
        <v>2094</v>
      </c>
      <c r="C54" s="2025"/>
      <c r="D54" s="2025"/>
      <c r="E54" s="2025"/>
      <c r="F54" s="2025"/>
      <c r="G54" s="2025"/>
      <c r="H54" s="2025"/>
      <c r="I54" s="2025"/>
    </row>
    <row r="55" spans="1:26">
      <c r="A55" s="2028" t="s">
        <v>634</v>
      </c>
      <c r="B55" s="2022" t="s">
        <v>635</v>
      </c>
      <c r="C55" s="2023"/>
      <c r="D55" s="2023"/>
      <c r="E55" s="2024"/>
      <c r="F55" s="2022" t="s">
        <v>21</v>
      </c>
      <c r="G55" s="2023"/>
      <c r="H55" s="2024"/>
      <c r="I55" s="2026" t="s">
        <v>2171</v>
      </c>
      <c r="J55" s="2026" t="s">
        <v>2170</v>
      </c>
    </row>
    <row r="56" spans="1:26" ht="52.5">
      <c r="A56" s="2029"/>
      <c r="B56" s="500" t="s">
        <v>637</v>
      </c>
      <c r="C56" s="500" t="s">
        <v>219</v>
      </c>
      <c r="D56" s="500" t="s">
        <v>324</v>
      </c>
      <c r="E56" s="500" t="s">
        <v>638</v>
      </c>
      <c r="F56" s="500" t="s">
        <v>1604</v>
      </c>
      <c r="G56" s="500" t="s">
        <v>1603</v>
      </c>
      <c r="H56" s="500" t="s">
        <v>1605</v>
      </c>
      <c r="I56" s="2026"/>
      <c r="J56" s="2026"/>
    </row>
    <row r="57" spans="1:26">
      <c r="A57" s="497" t="str">
        <f>+A34</f>
        <v>Air conditioning plants</v>
      </c>
      <c r="B57" s="572">
        <f t="shared" ref="B57:B69" si="14">+E34</f>
        <v>0.43189642699999997</v>
      </c>
      <c r="C57" s="949"/>
      <c r="D57" s="949"/>
      <c r="E57" s="572">
        <f>+B57+C57-D57</f>
        <v>0.43189642699999997</v>
      </c>
      <c r="F57" s="572">
        <f t="shared" ref="F57:F69" si="15">+H34</f>
        <v>1.9335891999999993E-2</v>
      </c>
      <c r="G57" s="572">
        <f>+B57*I57+C57*J57/2</f>
        <v>2.2804131345599998E-2</v>
      </c>
      <c r="H57" s="572">
        <f>+F57+G57</f>
        <v>4.2140023345599992E-2</v>
      </c>
      <c r="I57" s="955">
        <f>+I34</f>
        <v>5.28E-2</v>
      </c>
      <c r="J57" s="956">
        <f>+[3]CAPEX!I38</f>
        <v>4.2200000000000001E-2</v>
      </c>
    </row>
    <row r="58" spans="1:26">
      <c r="A58" s="497" t="str">
        <f t="shared" ref="A58:A69" si="16">+A35</f>
        <v>Any other assets not covered above</v>
      </c>
      <c r="B58" s="572">
        <f t="shared" si="14"/>
        <v>1.6316884345454543</v>
      </c>
      <c r="C58" s="949"/>
      <c r="D58" s="949"/>
      <c r="E58" s="572">
        <f t="shared" ref="E58:E69" si="17">+B58+C58-D58</f>
        <v>1.6316884345454543</v>
      </c>
      <c r="F58" s="572">
        <f t="shared" si="15"/>
        <v>7.5580629545454553E-2</v>
      </c>
      <c r="G58" s="572">
        <f t="shared" ref="G58:G69" si="18">+B58*I58+C58*J58/2</f>
        <v>8.6153149343999993E-2</v>
      </c>
      <c r="H58" s="572">
        <f t="shared" ref="H58:H69" si="19">+F58+G58</f>
        <v>0.16173377888945456</v>
      </c>
      <c r="I58" s="955">
        <f t="shared" ref="I58:I69" si="20">+I35</f>
        <v>5.28E-2</v>
      </c>
      <c r="J58" s="956">
        <f>+[3]CAPEX!I39</f>
        <v>4.2200000000000001E-2</v>
      </c>
    </row>
    <row r="59" spans="1:26">
      <c r="A59" s="497" t="str">
        <f t="shared" si="16"/>
        <v>Batteries</v>
      </c>
      <c r="B59" s="572">
        <f t="shared" si="14"/>
        <v>8.3992953000000009E-2</v>
      </c>
      <c r="C59" s="949"/>
      <c r="D59" s="949"/>
      <c r="E59" s="572">
        <f t="shared" si="17"/>
        <v>8.3992953000000009E-2</v>
      </c>
      <c r="F59" s="572">
        <f t="shared" si="15"/>
        <v>3.7215170000000014E-3</v>
      </c>
      <c r="G59" s="572">
        <f t="shared" si="18"/>
        <v>7.5593657700000006E-3</v>
      </c>
      <c r="H59" s="572">
        <f t="shared" si="19"/>
        <v>1.1280882770000002E-2</v>
      </c>
      <c r="I59" s="955">
        <f t="shared" si="20"/>
        <v>0.09</v>
      </c>
      <c r="J59" s="956">
        <f>+[3]CAPEX!I40</f>
        <v>0.09</v>
      </c>
    </row>
    <row r="60" spans="1:26">
      <c r="A60" s="497" t="str">
        <f t="shared" si="16"/>
        <v>Building-Others</v>
      </c>
      <c r="B60" s="572">
        <f t="shared" si="14"/>
        <v>5.221419622</v>
      </c>
      <c r="C60" s="949"/>
      <c r="D60" s="949"/>
      <c r="E60" s="572">
        <f t="shared" si="17"/>
        <v>5.221419622</v>
      </c>
      <c r="F60" s="572">
        <f t="shared" si="15"/>
        <v>0.129340909</v>
      </c>
      <c r="G60" s="572">
        <f t="shared" si="18"/>
        <v>0.17439541537479999</v>
      </c>
      <c r="H60" s="572">
        <f t="shared" si="19"/>
        <v>0.30373632437480003</v>
      </c>
      <c r="I60" s="955">
        <f t="shared" si="20"/>
        <v>3.3399999999999999E-2</v>
      </c>
      <c r="J60" s="956">
        <f>+[3]CAPEX!I41</f>
        <v>3.3399999999999999E-2</v>
      </c>
    </row>
    <row r="61" spans="1:26">
      <c r="A61" s="497" t="str">
        <f t="shared" si="16"/>
        <v>Communication equipment</v>
      </c>
      <c r="B61" s="572">
        <f t="shared" si="14"/>
        <v>2.7492412160000002</v>
      </c>
      <c r="C61" s="949"/>
      <c r="D61" s="949"/>
      <c r="E61" s="572">
        <f t="shared" si="17"/>
        <v>2.7492412160000002</v>
      </c>
      <c r="F61" s="572">
        <f t="shared" si="15"/>
        <v>0.15376123600000002</v>
      </c>
      <c r="G61" s="572">
        <f t="shared" si="18"/>
        <v>0.17402696897279998</v>
      </c>
      <c r="H61" s="572">
        <f t="shared" si="19"/>
        <v>0.32778820497280003</v>
      </c>
      <c r="I61" s="955">
        <f t="shared" si="20"/>
        <v>6.3299999999999995E-2</v>
      </c>
      <c r="J61" s="956">
        <f>+[3]CAPEX!I42</f>
        <v>6.3299999999999995E-2</v>
      </c>
    </row>
    <row r="62" spans="1:26">
      <c r="A62" s="497" t="str">
        <f t="shared" si="16"/>
        <v>Internal wiring including fittings and apparatus</v>
      </c>
      <c r="B62" s="572">
        <f t="shared" si="14"/>
        <v>0.30950215900000005</v>
      </c>
      <c r="C62" s="949"/>
      <c r="D62" s="949"/>
      <c r="E62" s="572">
        <f t="shared" si="17"/>
        <v>0.30950215900000005</v>
      </c>
      <c r="F62" s="572">
        <f t="shared" si="15"/>
        <v>1.7487413E-2</v>
      </c>
      <c r="G62" s="572">
        <f t="shared" si="18"/>
        <v>1.9591486664700002E-2</v>
      </c>
      <c r="H62" s="572">
        <f t="shared" si="19"/>
        <v>3.7078899664700002E-2</v>
      </c>
      <c r="I62" s="955">
        <f t="shared" si="20"/>
        <v>6.3299999999999995E-2</v>
      </c>
      <c r="J62" s="956">
        <f>+[3]CAPEX!I43</f>
        <v>6.3299999999999995E-2</v>
      </c>
    </row>
    <row r="63" spans="1:26">
      <c r="A63" s="497" t="str">
        <f t="shared" si="16"/>
        <v>IT equipment including software</v>
      </c>
      <c r="B63" s="572">
        <f t="shared" si="14"/>
        <v>2.3262088000000004E-2</v>
      </c>
      <c r="C63" s="949"/>
      <c r="D63" s="949"/>
      <c r="E63" s="572">
        <f t="shared" si="17"/>
        <v>2.3262088000000004E-2</v>
      </c>
      <c r="F63" s="572">
        <f t="shared" si="15"/>
        <v>3.1145699999999997E-3</v>
      </c>
      <c r="G63" s="572">
        <f t="shared" si="18"/>
        <v>3.4893132000000005E-3</v>
      </c>
      <c r="H63" s="572">
        <f t="shared" si="19"/>
        <v>6.6038832000000006E-3</v>
      </c>
      <c r="I63" s="955">
        <f t="shared" si="20"/>
        <v>0.15</v>
      </c>
      <c r="J63" s="956">
        <f>+[3]CAPEX!I44</f>
        <v>0.15</v>
      </c>
    </row>
    <row r="64" spans="1:26">
      <c r="A64" s="497" t="str">
        <f t="shared" si="16"/>
        <v>Lightning arrestors</v>
      </c>
      <c r="B64" s="572">
        <f t="shared" si="14"/>
        <v>0.31489073300000003</v>
      </c>
      <c r="C64" s="949"/>
      <c r="D64" s="949"/>
      <c r="E64" s="572">
        <f t="shared" si="17"/>
        <v>0.31489073300000003</v>
      </c>
      <c r="F64" s="572">
        <f t="shared" si="15"/>
        <v>1.4840617999999996E-2</v>
      </c>
      <c r="G64" s="572">
        <f t="shared" si="18"/>
        <v>1.6626230702400002E-2</v>
      </c>
      <c r="H64" s="572">
        <f t="shared" si="19"/>
        <v>3.1466848702399998E-2</v>
      </c>
      <c r="I64" s="955">
        <f t="shared" si="20"/>
        <v>5.28E-2</v>
      </c>
      <c r="J64" s="956">
        <f>+[3]CAPEX!I45</f>
        <v>4.2200000000000001E-2</v>
      </c>
    </row>
    <row r="65" spans="1:10">
      <c r="A65" s="497" t="str">
        <f t="shared" si="16"/>
        <v>Meters</v>
      </c>
      <c r="B65" s="572">
        <f t="shared" si="14"/>
        <v>0.31122897400000005</v>
      </c>
      <c r="C65" s="949"/>
      <c r="D65" s="949"/>
      <c r="E65" s="572">
        <f t="shared" si="17"/>
        <v>0.31122897400000005</v>
      </c>
      <c r="F65" s="572">
        <f t="shared" si="15"/>
        <v>1.4611816183333334E-2</v>
      </c>
      <c r="G65" s="572">
        <f t="shared" si="18"/>
        <v>2.8010607660000002E-2</v>
      </c>
      <c r="H65" s="572">
        <f t="shared" si="19"/>
        <v>4.262242384333334E-2</v>
      </c>
      <c r="I65" s="955">
        <f t="shared" si="20"/>
        <v>0.09</v>
      </c>
      <c r="J65" s="956">
        <f>+[3]CAPEX!I46</f>
        <v>0.09</v>
      </c>
    </row>
    <row r="66" spans="1:10">
      <c r="A66" s="497" t="str">
        <f t="shared" si="16"/>
        <v>Overhead lines including supports</v>
      </c>
      <c r="B66" s="572">
        <f t="shared" si="14"/>
        <v>37.639763271999996</v>
      </c>
      <c r="C66" s="949"/>
      <c r="D66" s="949"/>
      <c r="E66" s="572">
        <f t="shared" si="17"/>
        <v>37.639763271999996</v>
      </c>
      <c r="F66" s="572">
        <f t="shared" si="15"/>
        <v>1.773940388</v>
      </c>
      <c r="G66" s="572">
        <f t="shared" si="18"/>
        <v>1.9873795007615997</v>
      </c>
      <c r="H66" s="572">
        <f t="shared" si="19"/>
        <v>3.7613198887615997</v>
      </c>
      <c r="I66" s="955">
        <f t="shared" si="20"/>
        <v>5.28E-2</v>
      </c>
      <c r="J66" s="956">
        <f>+[3]CAPEX!I47</f>
        <v>4.2200000000000001E-2</v>
      </c>
    </row>
    <row r="67" spans="1:10">
      <c r="A67" s="497" t="str">
        <f t="shared" si="16"/>
        <v>Switchgear including cable connections</v>
      </c>
      <c r="B67" s="572">
        <f t="shared" si="14"/>
        <v>9.1581650779090893</v>
      </c>
      <c r="C67" s="949"/>
      <c r="D67" s="949"/>
      <c r="E67" s="572">
        <f t="shared" si="17"/>
        <v>9.1581650779090893</v>
      </c>
      <c r="F67" s="572">
        <f t="shared" si="15"/>
        <v>0.42645797870692609</v>
      </c>
      <c r="G67" s="572">
        <f t="shared" si="18"/>
        <v>0.48355111611359991</v>
      </c>
      <c r="H67" s="572">
        <f t="shared" si="19"/>
        <v>0.91000909482052594</v>
      </c>
      <c r="I67" s="955">
        <f t="shared" si="20"/>
        <v>5.28E-2</v>
      </c>
      <c r="J67" s="956">
        <f>+[3]CAPEX!I48</f>
        <v>4.2200000000000001E-2</v>
      </c>
    </row>
    <row r="68" spans="1:10">
      <c r="A68" s="497" t="str">
        <f t="shared" si="16"/>
        <v>Transformers (including foundations)</v>
      </c>
      <c r="B68" s="572">
        <f t="shared" si="14"/>
        <v>13.588930811393938</v>
      </c>
      <c r="C68" s="949"/>
      <c r="D68" s="949"/>
      <c r="E68" s="572">
        <f t="shared" si="17"/>
        <v>13.588930811393938</v>
      </c>
      <c r="F68" s="572">
        <f t="shared" si="15"/>
        <v>0.62152470329545462</v>
      </c>
      <c r="G68" s="572">
        <f t="shared" si="18"/>
        <v>0.71749554684159988</v>
      </c>
      <c r="H68" s="572">
        <f t="shared" si="19"/>
        <v>1.3390202501370545</v>
      </c>
      <c r="I68" s="955">
        <f t="shared" si="20"/>
        <v>5.28E-2</v>
      </c>
      <c r="J68" s="956">
        <f>+[3]CAPEX!I49</f>
        <v>4.2200000000000001E-2</v>
      </c>
    </row>
    <row r="69" spans="1:10">
      <c r="A69" s="497" t="str">
        <f t="shared" si="16"/>
        <v>Transformers (Others)</v>
      </c>
      <c r="B69" s="572">
        <f t="shared" si="14"/>
        <v>1.3814585400000001</v>
      </c>
      <c r="C69" s="949"/>
      <c r="D69" s="949"/>
      <c r="E69" s="572">
        <f t="shared" si="17"/>
        <v>1.3814585400000001</v>
      </c>
      <c r="F69" s="572">
        <f t="shared" si="15"/>
        <v>7.1007352999999995E-2</v>
      </c>
      <c r="G69" s="572">
        <f t="shared" si="18"/>
        <v>7.2941010912000004E-2</v>
      </c>
      <c r="H69" s="572">
        <f t="shared" si="19"/>
        <v>0.143948363912</v>
      </c>
      <c r="I69" s="955">
        <f t="shared" si="20"/>
        <v>5.28E-2</v>
      </c>
      <c r="J69" s="956">
        <f>+[3]CAPEX!I50</f>
        <v>4.2200000000000001E-2</v>
      </c>
    </row>
    <row r="70" spans="1:10">
      <c r="A70" s="501" t="s">
        <v>2096</v>
      </c>
      <c r="B70" s="612">
        <f>SUM(B57:B69)</f>
        <v>72.845440307848477</v>
      </c>
      <c r="C70" s="612">
        <f t="shared" ref="C70:H70" si="21">SUM(C57:C69)</f>
        <v>0</v>
      </c>
      <c r="D70" s="612">
        <f t="shared" si="21"/>
        <v>0</v>
      </c>
      <c r="E70" s="612">
        <f t="shared" si="21"/>
        <v>72.845440307848477</v>
      </c>
      <c r="F70" s="612">
        <f t="shared" si="21"/>
        <v>3.324725023731169</v>
      </c>
      <c r="G70" s="612">
        <f t="shared" si="21"/>
        <v>3.7940238436630995</v>
      </c>
      <c r="H70" s="612">
        <f t="shared" si="21"/>
        <v>7.1187488673942685</v>
      </c>
      <c r="I70" s="612"/>
      <c r="J70" s="957"/>
    </row>
    <row r="71" spans="1:10">
      <c r="A71" s="613" t="s">
        <v>1405</v>
      </c>
      <c r="B71" s="572">
        <f>+E48</f>
        <v>0</v>
      </c>
      <c r="C71" s="572"/>
      <c r="D71" s="572"/>
      <c r="E71" s="572">
        <f t="shared" ref="E71:E73" si="22">+B71+C71-D71</f>
        <v>0</v>
      </c>
      <c r="F71" s="572">
        <f>+H48</f>
        <v>0</v>
      </c>
      <c r="G71" s="572"/>
      <c r="H71" s="572">
        <f t="shared" ref="H71:H73" si="23">+F71+G71</f>
        <v>0</v>
      </c>
      <c r="I71" s="572"/>
      <c r="J71" s="957"/>
    </row>
    <row r="72" spans="1:10">
      <c r="A72" s="613" t="s">
        <v>1387</v>
      </c>
      <c r="B72" s="572">
        <f>+E49</f>
        <v>0</v>
      </c>
      <c r="C72" s="572"/>
      <c r="D72" s="572"/>
      <c r="E72" s="572">
        <f t="shared" si="22"/>
        <v>0</v>
      </c>
      <c r="F72" s="572">
        <f>+H49</f>
        <v>0</v>
      </c>
      <c r="G72" s="572"/>
      <c r="H72" s="572">
        <f t="shared" si="23"/>
        <v>0</v>
      </c>
      <c r="I72" s="572"/>
      <c r="J72" s="957"/>
    </row>
    <row r="73" spans="1:10">
      <c r="A73" s="613" t="s">
        <v>1388</v>
      </c>
      <c r="B73" s="572">
        <f>+E50</f>
        <v>35.919103</v>
      </c>
      <c r="C73" s="572"/>
      <c r="D73" s="572"/>
      <c r="E73" s="572">
        <f t="shared" si="22"/>
        <v>35.919103</v>
      </c>
      <c r="F73" s="572">
        <f>+H50</f>
        <v>1.692846659</v>
      </c>
      <c r="G73" s="572">
        <f t="shared" ref="G73" si="24">+B73*I73+C73*J73/2</f>
        <v>1.8965286384</v>
      </c>
      <c r="H73" s="572">
        <f t="shared" si="23"/>
        <v>3.5893752974000002</v>
      </c>
      <c r="I73" s="955">
        <f t="shared" ref="I73" si="25">+I50</f>
        <v>5.28E-2</v>
      </c>
      <c r="J73" s="956">
        <f>+[3]CAPEX!I54</f>
        <v>0</v>
      </c>
    </row>
    <row r="74" spans="1:10">
      <c r="A74" s="501" t="s">
        <v>143</v>
      </c>
      <c r="B74" s="612">
        <f>+B70-SUM(B71:B73)</f>
        <v>36.926337307848478</v>
      </c>
      <c r="C74" s="612">
        <f t="shared" ref="C74" si="26">+C70-SUM(C71:C73)</f>
        <v>0</v>
      </c>
      <c r="D74" s="612">
        <f t="shared" ref="D74:E74" si="27">+D70-SUM(D71:D73)</f>
        <v>0</v>
      </c>
      <c r="E74" s="612">
        <f t="shared" si="27"/>
        <v>36.926337307848478</v>
      </c>
      <c r="F74" s="612">
        <f t="shared" ref="F74" si="28">+F70-SUM(F71:F73)</f>
        <v>1.631878364731169</v>
      </c>
      <c r="G74" s="612">
        <f t="shared" ref="G74:H74" si="29">+G70-SUM(G71:G73)</f>
        <v>1.8974952052630996</v>
      </c>
      <c r="H74" s="612">
        <f t="shared" si="29"/>
        <v>3.5293735699942683</v>
      </c>
      <c r="I74" s="612"/>
      <c r="J74" s="957"/>
    </row>
    <row r="77" spans="1:10">
      <c r="B77" s="2025" t="s">
        <v>2095</v>
      </c>
      <c r="C77" s="2025"/>
      <c r="D77" s="2025"/>
      <c r="E77" s="2025"/>
      <c r="F77" s="2025"/>
      <c r="G77" s="2025"/>
      <c r="H77" s="2025"/>
      <c r="I77" s="2025"/>
    </row>
    <row r="78" spans="1:10" ht="13.8" customHeight="1">
      <c r="A78" s="2028" t="s">
        <v>634</v>
      </c>
      <c r="B78" s="2022" t="s">
        <v>635</v>
      </c>
      <c r="C78" s="2023"/>
      <c r="D78" s="2023"/>
      <c r="E78" s="2024"/>
      <c r="F78" s="2022" t="s">
        <v>21</v>
      </c>
      <c r="G78" s="2023"/>
      <c r="H78" s="2024"/>
      <c r="I78" s="2026" t="s">
        <v>2171</v>
      </c>
      <c r="J78" s="2026" t="s">
        <v>2170</v>
      </c>
    </row>
    <row r="79" spans="1:10" ht="52.5">
      <c r="A79" s="2029"/>
      <c r="B79" s="500" t="s">
        <v>637</v>
      </c>
      <c r="C79" s="500" t="s">
        <v>219</v>
      </c>
      <c r="D79" s="500" t="s">
        <v>324</v>
      </c>
      <c r="E79" s="500" t="s">
        <v>638</v>
      </c>
      <c r="F79" s="500" t="s">
        <v>1604</v>
      </c>
      <c r="G79" s="500" t="s">
        <v>1603</v>
      </c>
      <c r="H79" s="500" t="s">
        <v>1605</v>
      </c>
      <c r="I79" s="2026"/>
      <c r="J79" s="2026"/>
    </row>
    <row r="80" spans="1:10">
      <c r="A80" s="497" t="str">
        <f>+A34</f>
        <v>Air conditioning plants</v>
      </c>
      <c r="B80" s="572">
        <f t="shared" ref="B80:B92" si="30">+E57</f>
        <v>0.43189642699999997</v>
      </c>
      <c r="C80" s="949">
        <f>+[3]CAPEX!F4</f>
        <v>0</v>
      </c>
      <c r="D80" s="949"/>
      <c r="E80" s="572">
        <f>+B80+C80-D80</f>
        <v>0.43189642699999997</v>
      </c>
      <c r="F80" s="572">
        <f t="shared" ref="F80:F92" si="31">+H57</f>
        <v>4.2140023345599992E-2</v>
      </c>
      <c r="G80" s="572">
        <f>+B57*I80+C57*J57+C80*J80/2</f>
        <v>2.2804131345599998E-2</v>
      </c>
      <c r="H80" s="572">
        <f>+F80+G80</f>
        <v>6.494415469119999E-2</v>
      </c>
      <c r="I80" s="955">
        <f>+I57</f>
        <v>5.28E-2</v>
      </c>
      <c r="J80" s="955">
        <f t="shared" ref="J80:J92" si="32">+J57</f>
        <v>4.2200000000000001E-2</v>
      </c>
    </row>
    <row r="81" spans="1:14">
      <c r="A81" s="497" t="str">
        <f t="shared" ref="A81:A92" si="33">+A35</f>
        <v>Any other assets not covered above</v>
      </c>
      <c r="B81" s="572">
        <f t="shared" si="30"/>
        <v>1.6316884345454543</v>
      </c>
      <c r="C81" s="949">
        <f>+[3]CAPEX!F5</f>
        <v>0</v>
      </c>
      <c r="D81" s="949"/>
      <c r="E81" s="572">
        <f t="shared" ref="E81:E92" si="34">+B81+C81-D81</f>
        <v>1.6316884345454543</v>
      </c>
      <c r="F81" s="572">
        <f t="shared" si="31"/>
        <v>0.16173377888945456</v>
      </c>
      <c r="G81" s="572">
        <f t="shared" ref="G81:G91" si="35">+B58*I81+C58*J58+C81*J81/2</f>
        <v>8.6153149343999993E-2</v>
      </c>
      <c r="H81" s="572">
        <f t="shared" ref="H81:H92" si="36">+F81+G81</f>
        <v>0.24788692823345454</v>
      </c>
      <c r="I81" s="955">
        <f t="shared" ref="I81" si="37">+I58</f>
        <v>5.28E-2</v>
      </c>
      <c r="J81" s="955">
        <f t="shared" si="32"/>
        <v>4.2200000000000001E-2</v>
      </c>
    </row>
    <row r="82" spans="1:14">
      <c r="A82" s="497" t="str">
        <f t="shared" si="33"/>
        <v>Batteries</v>
      </c>
      <c r="B82" s="572">
        <f t="shared" si="30"/>
        <v>8.3992953000000009E-2</v>
      </c>
      <c r="C82" s="949">
        <f>+[3]CAPEX!F6</f>
        <v>0</v>
      </c>
      <c r="D82" s="949"/>
      <c r="E82" s="572">
        <f t="shared" si="34"/>
        <v>8.3992953000000009E-2</v>
      </c>
      <c r="F82" s="572">
        <f t="shared" si="31"/>
        <v>1.1280882770000002E-2</v>
      </c>
      <c r="G82" s="572">
        <f t="shared" si="35"/>
        <v>7.5593657700000006E-3</v>
      </c>
      <c r="H82" s="572">
        <f t="shared" si="36"/>
        <v>1.8840248540000003E-2</v>
      </c>
      <c r="I82" s="955">
        <f t="shared" ref="I82" si="38">+I59</f>
        <v>0.09</v>
      </c>
      <c r="J82" s="955">
        <f t="shared" si="32"/>
        <v>0.09</v>
      </c>
    </row>
    <row r="83" spans="1:14">
      <c r="A83" s="497" t="str">
        <f t="shared" si="33"/>
        <v>Building-Others</v>
      </c>
      <c r="B83" s="572">
        <f t="shared" si="30"/>
        <v>5.221419622</v>
      </c>
      <c r="C83" s="949">
        <f>+[3]CAPEX!F7</f>
        <v>0</v>
      </c>
      <c r="D83" s="949"/>
      <c r="E83" s="572">
        <f t="shared" si="34"/>
        <v>5.221419622</v>
      </c>
      <c r="F83" s="572">
        <f t="shared" si="31"/>
        <v>0.30373632437480003</v>
      </c>
      <c r="G83" s="572">
        <f t="shared" si="35"/>
        <v>0.17439541537479999</v>
      </c>
      <c r="H83" s="572">
        <f t="shared" si="36"/>
        <v>0.47813173974959999</v>
      </c>
      <c r="I83" s="955">
        <f t="shared" ref="I83" si="39">+I60</f>
        <v>3.3399999999999999E-2</v>
      </c>
      <c r="J83" s="955">
        <f t="shared" si="32"/>
        <v>3.3399999999999999E-2</v>
      </c>
    </row>
    <row r="84" spans="1:14">
      <c r="A84" s="497" t="str">
        <f t="shared" si="33"/>
        <v>Communication equipment</v>
      </c>
      <c r="B84" s="572">
        <f t="shared" si="30"/>
        <v>2.7492412160000002</v>
      </c>
      <c r="C84" s="949">
        <f>+[3]CAPEX!F8</f>
        <v>0</v>
      </c>
      <c r="D84" s="949"/>
      <c r="E84" s="572">
        <f t="shared" si="34"/>
        <v>2.7492412160000002</v>
      </c>
      <c r="F84" s="572">
        <f t="shared" si="31"/>
        <v>0.32778820497280003</v>
      </c>
      <c r="G84" s="572">
        <f t="shared" si="35"/>
        <v>0.17402696897279998</v>
      </c>
      <c r="H84" s="572">
        <f t="shared" si="36"/>
        <v>0.50181517394560005</v>
      </c>
      <c r="I84" s="955">
        <f t="shared" ref="I84" si="40">+I61</f>
        <v>6.3299999999999995E-2</v>
      </c>
      <c r="J84" s="955">
        <f t="shared" si="32"/>
        <v>6.3299999999999995E-2</v>
      </c>
    </row>
    <row r="85" spans="1:14">
      <c r="A85" s="497" t="str">
        <f t="shared" si="33"/>
        <v>Internal wiring including fittings and apparatus</v>
      </c>
      <c r="B85" s="572">
        <f t="shared" si="30"/>
        <v>0.30950215900000005</v>
      </c>
      <c r="C85" s="949">
        <f>+[3]CAPEX!F9</f>
        <v>0</v>
      </c>
      <c r="D85" s="949"/>
      <c r="E85" s="572">
        <f t="shared" si="34"/>
        <v>0.30950215900000005</v>
      </c>
      <c r="F85" s="572">
        <f t="shared" si="31"/>
        <v>3.7078899664700002E-2</v>
      </c>
      <c r="G85" s="572">
        <f t="shared" si="35"/>
        <v>1.9591486664700002E-2</v>
      </c>
      <c r="H85" s="572">
        <f t="shared" si="36"/>
        <v>5.6670386329400003E-2</v>
      </c>
      <c r="I85" s="955">
        <f t="shared" ref="I85" si="41">+I62</f>
        <v>6.3299999999999995E-2</v>
      </c>
      <c r="J85" s="955">
        <f t="shared" si="32"/>
        <v>6.3299999999999995E-2</v>
      </c>
    </row>
    <row r="86" spans="1:14">
      <c r="A86" s="497" t="str">
        <f t="shared" si="33"/>
        <v>IT equipment including software</v>
      </c>
      <c r="B86" s="572">
        <f t="shared" si="30"/>
        <v>2.3262088000000004E-2</v>
      </c>
      <c r="C86" s="949">
        <f>+[3]CAPEX!F10</f>
        <v>0</v>
      </c>
      <c r="D86" s="949"/>
      <c r="E86" s="572">
        <f t="shared" si="34"/>
        <v>2.3262088000000004E-2</v>
      </c>
      <c r="F86" s="572">
        <f t="shared" si="31"/>
        <v>6.6038832000000006E-3</v>
      </c>
      <c r="G86" s="572">
        <f t="shared" si="35"/>
        <v>3.4893132000000005E-3</v>
      </c>
      <c r="H86" s="572">
        <f t="shared" si="36"/>
        <v>1.0093196400000001E-2</v>
      </c>
      <c r="I86" s="955">
        <f t="shared" ref="I86" si="42">+I63</f>
        <v>0.15</v>
      </c>
      <c r="J86" s="955">
        <f t="shared" si="32"/>
        <v>0.15</v>
      </c>
    </row>
    <row r="87" spans="1:14">
      <c r="A87" s="497" t="str">
        <f t="shared" si="33"/>
        <v>Lightning arrestors</v>
      </c>
      <c r="B87" s="572">
        <f t="shared" si="30"/>
        <v>0.31489073300000003</v>
      </c>
      <c r="C87" s="949">
        <f>+[3]CAPEX!F11</f>
        <v>0</v>
      </c>
      <c r="D87" s="949"/>
      <c r="E87" s="572">
        <f t="shared" si="34"/>
        <v>0.31489073300000003</v>
      </c>
      <c r="F87" s="572">
        <f t="shared" si="31"/>
        <v>3.1466848702399998E-2</v>
      </c>
      <c r="G87" s="572">
        <f t="shared" si="35"/>
        <v>1.6626230702400002E-2</v>
      </c>
      <c r="H87" s="572">
        <f t="shared" si="36"/>
        <v>4.8093079404799996E-2</v>
      </c>
      <c r="I87" s="955">
        <f t="shared" ref="I87" si="43">+I64</f>
        <v>5.28E-2</v>
      </c>
      <c r="J87" s="955">
        <f t="shared" si="32"/>
        <v>4.2200000000000001E-2</v>
      </c>
    </row>
    <row r="88" spans="1:14">
      <c r="A88" s="497" t="str">
        <f t="shared" si="33"/>
        <v>Meters</v>
      </c>
      <c r="B88" s="572">
        <f t="shared" si="30"/>
        <v>0.31122897400000005</v>
      </c>
      <c r="C88" s="949">
        <f>+[3]CAPEX!F12</f>
        <v>0</v>
      </c>
      <c r="D88" s="949"/>
      <c r="E88" s="572">
        <f t="shared" si="34"/>
        <v>0.31122897400000005</v>
      </c>
      <c r="F88" s="572">
        <f t="shared" si="31"/>
        <v>4.262242384333334E-2</v>
      </c>
      <c r="G88" s="572">
        <f t="shared" si="35"/>
        <v>2.8010607660000002E-2</v>
      </c>
      <c r="H88" s="572">
        <f t="shared" si="36"/>
        <v>7.0633031503333346E-2</v>
      </c>
      <c r="I88" s="955">
        <f t="shared" ref="I88" si="44">+I65</f>
        <v>0.09</v>
      </c>
      <c r="J88" s="955">
        <f t="shared" si="32"/>
        <v>0.09</v>
      </c>
    </row>
    <row r="89" spans="1:14">
      <c r="A89" s="497" t="str">
        <f t="shared" si="33"/>
        <v>Overhead lines including supports</v>
      </c>
      <c r="B89" s="572">
        <f t="shared" si="30"/>
        <v>37.639763271999996</v>
      </c>
      <c r="C89" s="949">
        <f>+[3]CAPEX!F13</f>
        <v>0</v>
      </c>
      <c r="D89" s="949"/>
      <c r="E89" s="572">
        <f t="shared" si="34"/>
        <v>37.639763271999996</v>
      </c>
      <c r="F89" s="572">
        <f t="shared" si="31"/>
        <v>3.7613198887615997</v>
      </c>
      <c r="G89" s="572">
        <f t="shared" si="35"/>
        <v>1.9873795007615997</v>
      </c>
      <c r="H89" s="572">
        <f t="shared" si="36"/>
        <v>5.7486993895231997</v>
      </c>
      <c r="I89" s="955">
        <f t="shared" ref="I89" si="45">+I66</f>
        <v>5.28E-2</v>
      </c>
      <c r="J89" s="955">
        <f t="shared" si="32"/>
        <v>4.2200000000000001E-2</v>
      </c>
    </row>
    <row r="90" spans="1:14">
      <c r="A90" s="497" t="str">
        <f t="shared" si="33"/>
        <v>Switchgear including cable connections</v>
      </c>
      <c r="B90" s="572">
        <f t="shared" si="30"/>
        <v>9.1581650779090893</v>
      </c>
      <c r="C90" s="949">
        <f>+[3]CAPEX!F14</f>
        <v>0</v>
      </c>
      <c r="D90" s="949"/>
      <c r="E90" s="572">
        <f t="shared" si="34"/>
        <v>9.1581650779090893</v>
      </c>
      <c r="F90" s="572">
        <f t="shared" si="31"/>
        <v>0.91000909482052594</v>
      </c>
      <c r="G90" s="572">
        <f t="shared" si="35"/>
        <v>0.48355111611359991</v>
      </c>
      <c r="H90" s="572">
        <f t="shared" si="36"/>
        <v>1.3935602109341259</v>
      </c>
      <c r="I90" s="955">
        <f t="shared" ref="I90" si="46">+I67</f>
        <v>5.28E-2</v>
      </c>
      <c r="J90" s="955">
        <f t="shared" si="32"/>
        <v>4.2200000000000001E-2</v>
      </c>
    </row>
    <row r="91" spans="1:14">
      <c r="A91" s="497" t="str">
        <f t="shared" si="33"/>
        <v>Transformers (including foundations)</v>
      </c>
      <c r="B91" s="572">
        <f t="shared" si="30"/>
        <v>13.588930811393938</v>
      </c>
      <c r="C91" s="949">
        <f>+[3]CAPEX!F15</f>
        <v>0</v>
      </c>
      <c r="D91" s="949"/>
      <c r="E91" s="572">
        <f t="shared" si="34"/>
        <v>13.588930811393938</v>
      </c>
      <c r="F91" s="572">
        <f t="shared" si="31"/>
        <v>1.3390202501370545</v>
      </c>
      <c r="G91" s="572">
        <f t="shared" si="35"/>
        <v>0.71749554684159988</v>
      </c>
      <c r="H91" s="572">
        <f t="shared" si="36"/>
        <v>2.0565157969786543</v>
      </c>
      <c r="I91" s="955">
        <f t="shared" ref="I91" si="47">+I68</f>
        <v>5.28E-2</v>
      </c>
      <c r="J91" s="955">
        <f t="shared" si="32"/>
        <v>4.2200000000000001E-2</v>
      </c>
    </row>
    <row r="92" spans="1:14">
      <c r="A92" s="497" t="str">
        <f t="shared" si="33"/>
        <v>Transformers (Others)</v>
      </c>
      <c r="B92" s="572">
        <f t="shared" si="30"/>
        <v>1.3814585400000001</v>
      </c>
      <c r="C92" s="949">
        <f>+[3]CAPEX!F16</f>
        <v>2.7</v>
      </c>
      <c r="D92" s="949"/>
      <c r="E92" s="572">
        <f t="shared" si="34"/>
        <v>4.0814585399999999</v>
      </c>
      <c r="F92" s="572">
        <f t="shared" si="31"/>
        <v>0.143948363912</v>
      </c>
      <c r="G92" s="572">
        <f>+B69*I92+C69*J93+C92*J92/2</f>
        <v>0.12991101091200002</v>
      </c>
      <c r="H92" s="572">
        <f t="shared" si="36"/>
        <v>0.27385937482400002</v>
      </c>
      <c r="I92" s="955">
        <f t="shared" ref="I92" si="48">+I69</f>
        <v>5.28E-2</v>
      </c>
      <c r="J92" s="955">
        <f t="shared" si="32"/>
        <v>4.2200000000000001E-2</v>
      </c>
      <c r="L92" s="858"/>
      <c r="M92" s="858"/>
      <c r="N92" s="858"/>
    </row>
    <row r="93" spans="1:14">
      <c r="A93" s="501" t="s">
        <v>2096</v>
      </c>
      <c r="B93" s="612">
        <f>SUM(B80:B92)</f>
        <v>72.845440307848477</v>
      </c>
      <c r="C93" s="612">
        <f t="shared" ref="C93:H93" si="49">SUM(C80:C92)</f>
        <v>2.7</v>
      </c>
      <c r="D93" s="612">
        <f t="shared" si="49"/>
        <v>0</v>
      </c>
      <c r="E93" s="612">
        <f t="shared" si="49"/>
        <v>75.54544030784848</v>
      </c>
      <c r="F93" s="612">
        <f t="shared" si="49"/>
        <v>7.1187488673942685</v>
      </c>
      <c r="G93" s="612">
        <f t="shared" si="49"/>
        <v>3.8509938436630997</v>
      </c>
      <c r="H93" s="612">
        <f t="shared" si="49"/>
        <v>10.969742711057368</v>
      </c>
      <c r="I93" s="612"/>
      <c r="L93" s="858"/>
      <c r="M93" s="858"/>
      <c r="N93" s="858"/>
    </row>
    <row r="94" spans="1:14">
      <c r="A94" s="613" t="s">
        <v>1405</v>
      </c>
      <c r="B94" s="572">
        <f>+E71</f>
        <v>0</v>
      </c>
      <c r="C94" s="572"/>
      <c r="D94" s="572"/>
      <c r="E94" s="572">
        <f t="shared" ref="E94:E96" si="50">+B94+C94-D94</f>
        <v>0</v>
      </c>
      <c r="F94" s="572">
        <f>+H71</f>
        <v>0</v>
      </c>
      <c r="G94" s="572"/>
      <c r="H94" s="572">
        <f t="shared" ref="H94:H96" si="51">+F94+G94</f>
        <v>0</v>
      </c>
      <c r="I94" s="572"/>
      <c r="L94" s="858"/>
      <c r="M94" s="858"/>
      <c r="N94" s="858"/>
    </row>
    <row r="95" spans="1:14">
      <c r="A95" s="613" t="s">
        <v>1387</v>
      </c>
      <c r="B95" s="572">
        <f>+E72</f>
        <v>0</v>
      </c>
      <c r="C95" s="572"/>
      <c r="D95" s="572"/>
      <c r="E95" s="572">
        <f t="shared" si="50"/>
        <v>0</v>
      </c>
      <c r="F95" s="572">
        <f>+H72</f>
        <v>0</v>
      </c>
      <c r="G95" s="572"/>
      <c r="H95" s="572">
        <f t="shared" si="51"/>
        <v>0</v>
      </c>
      <c r="I95" s="572"/>
    </row>
    <row r="96" spans="1:14">
      <c r="A96" s="613" t="s">
        <v>1388</v>
      </c>
      <c r="B96" s="572">
        <f>+E73</f>
        <v>35.919103</v>
      </c>
      <c r="C96" s="572"/>
      <c r="D96" s="572"/>
      <c r="E96" s="572">
        <f t="shared" si="50"/>
        <v>35.919103</v>
      </c>
      <c r="F96" s="572">
        <f>+H73</f>
        <v>3.5893752974000002</v>
      </c>
      <c r="G96" s="572">
        <f t="shared" ref="G96" si="52">+B73*I96+C73*J73+C96*J96/2</f>
        <v>1.8965286384</v>
      </c>
      <c r="H96" s="572">
        <f t="shared" si="51"/>
        <v>5.4859039357999997</v>
      </c>
      <c r="I96" s="955">
        <f t="shared" ref="I96:J96" si="53">+I73</f>
        <v>5.28E-2</v>
      </c>
      <c r="J96" s="955">
        <f t="shared" si="53"/>
        <v>0</v>
      </c>
    </row>
    <row r="97" spans="1:9">
      <c r="A97" s="501" t="s">
        <v>143</v>
      </c>
      <c r="B97" s="612">
        <f>+B93-SUM(B94:B96)</f>
        <v>36.926337307848478</v>
      </c>
      <c r="C97" s="612">
        <f t="shared" ref="C97" si="54">+C93-SUM(C94:C96)</f>
        <v>2.7</v>
      </c>
      <c r="D97" s="612">
        <f t="shared" ref="D97" si="55">+D93-SUM(D94:D96)</f>
        <v>0</v>
      </c>
      <c r="E97" s="612">
        <f t="shared" ref="E97" si="56">+E93-SUM(E94:E96)</f>
        <v>39.62633730784848</v>
      </c>
      <c r="F97" s="612">
        <f t="shared" ref="F97" si="57">+F93-SUM(F94:F96)</f>
        <v>3.5293735699942683</v>
      </c>
      <c r="G97" s="612">
        <f t="shared" ref="G97" si="58">+G93-SUM(G94:G96)</f>
        <v>1.9544652052630997</v>
      </c>
      <c r="H97" s="612">
        <f t="shared" ref="H97" si="59">+H93-SUM(H94:H96)</f>
        <v>5.4838387752573681</v>
      </c>
      <c r="I97" s="612"/>
    </row>
  </sheetData>
  <mergeCells count="28">
    <mergeCell ref="J55:J56"/>
    <mergeCell ref="J78:J79"/>
    <mergeCell ref="I6:I7"/>
    <mergeCell ref="A32:A33"/>
    <mergeCell ref="A55:A56"/>
    <mergeCell ref="F55:H55"/>
    <mergeCell ref="I55:I56"/>
    <mergeCell ref="F6:H6"/>
    <mergeCell ref="A28:F28"/>
    <mergeCell ref="A29:F29"/>
    <mergeCell ref="A6:A7"/>
    <mergeCell ref="B8:I20"/>
    <mergeCell ref="A78:A79"/>
    <mergeCell ref="A1:B1"/>
    <mergeCell ref="D2:E2"/>
    <mergeCell ref="B6:E6"/>
    <mergeCell ref="B77:I77"/>
    <mergeCell ref="B78:E78"/>
    <mergeCell ref="F78:H78"/>
    <mergeCell ref="I78:I79"/>
    <mergeCell ref="B31:I31"/>
    <mergeCell ref="B32:E32"/>
    <mergeCell ref="F32:H32"/>
    <mergeCell ref="I32:I33"/>
    <mergeCell ref="B54:I54"/>
    <mergeCell ref="B55:E55"/>
    <mergeCell ref="B5:I5"/>
    <mergeCell ref="A27:D27"/>
  </mergeCells>
  <printOptions horizontalCentered="1"/>
  <pageMargins left="0.27559055118110237" right="0.23622047244094491" top="0.47244094488188981" bottom="0.23622047244094491" header="0.23622047244094491" footer="0.23622047244094491"/>
  <pageSetup paperSize="5" fitToHeight="3" orientation="landscape" r:id="rId1"/>
  <headerFooter alignWithMargins="0"/>
  <rowBreaks count="2" manualBreakCount="2">
    <brk id="30" max="9" man="1"/>
    <brk id="74" max="9"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FFFF"/>
    <pageSetUpPr fitToPage="1"/>
  </sheetPr>
  <dimension ref="A1:M63"/>
  <sheetViews>
    <sheetView showGridLines="0" view="pageBreakPreview" zoomScale="70" zoomScaleNormal="95" zoomScaleSheetLayoutView="70" workbookViewId="0">
      <selection activeCell="D25" sqref="D25:F61"/>
    </sheetView>
  </sheetViews>
  <sheetFormatPr defaultColWidth="9.19921875" defaultRowHeight="14.25"/>
  <cols>
    <col min="1" max="1" width="5.796875" style="259" customWidth="1"/>
    <col min="2" max="2" width="69" style="243" customWidth="1"/>
    <col min="3" max="10" width="12.33203125" style="243" customWidth="1"/>
    <col min="11" max="11" width="16.53125" style="243" customWidth="1"/>
    <col min="12" max="14" width="18.796875" style="243" customWidth="1"/>
    <col min="15" max="16384" width="9.19921875" style="243"/>
  </cols>
  <sheetData>
    <row r="1" spans="1:13">
      <c r="A1" s="225" t="s">
        <v>1823</v>
      </c>
      <c r="B1" s="225"/>
      <c r="C1" s="225"/>
      <c r="D1" s="225"/>
      <c r="E1" s="225"/>
      <c r="F1" s="225"/>
      <c r="G1" s="225"/>
      <c r="H1" s="225"/>
      <c r="I1" s="225"/>
      <c r="J1" s="242"/>
      <c r="K1" s="242"/>
    </row>
    <row r="2" spans="1:13" s="245" customFormat="1">
      <c r="A2" s="225" t="str">
        <f>+'BS1'!A2</f>
        <v>NIDP DEVELOPERS PRIVATE LIMITED</v>
      </c>
      <c r="B2" s="225"/>
      <c r="C2" s="225"/>
      <c r="D2" s="225"/>
      <c r="E2" s="225"/>
      <c r="F2" s="225"/>
      <c r="G2" s="225"/>
      <c r="H2" s="225"/>
      <c r="I2" s="225"/>
      <c r="J2" s="244"/>
      <c r="K2" s="244"/>
    </row>
    <row r="3" spans="1:13" s="245" customFormat="1">
      <c r="A3" s="105" t="s">
        <v>709</v>
      </c>
      <c r="B3" s="173"/>
      <c r="C3" s="173"/>
      <c r="D3" s="173"/>
      <c r="E3" s="173"/>
      <c r="F3" s="173"/>
      <c r="G3" s="173"/>
      <c r="H3" s="173"/>
      <c r="I3" s="173"/>
      <c r="J3" s="173"/>
      <c r="K3" s="173"/>
      <c r="L3" s="173"/>
      <c r="M3" s="173"/>
    </row>
    <row r="4" spans="1:13" s="245" customFormat="1">
      <c r="A4" s="246" t="s">
        <v>639</v>
      </c>
      <c r="C4" s="246"/>
      <c r="D4" s="244"/>
      <c r="E4" s="244"/>
      <c r="F4" s="244"/>
      <c r="G4" s="244"/>
      <c r="H4" s="247"/>
      <c r="I4" s="244"/>
      <c r="J4" s="244"/>
      <c r="K4" s="244"/>
    </row>
    <row r="5" spans="1:13" ht="38.549999999999997" customHeight="1">
      <c r="A5" s="2042" t="s">
        <v>640</v>
      </c>
      <c r="B5" s="2042" t="s">
        <v>147</v>
      </c>
      <c r="C5" s="650" t="s">
        <v>342</v>
      </c>
      <c r="D5" s="2058" t="s">
        <v>1797</v>
      </c>
      <c r="E5" s="2059"/>
      <c r="F5" s="2060"/>
      <c r="G5" s="2058" t="s">
        <v>344</v>
      </c>
      <c r="H5" s="2060"/>
      <c r="I5" s="650" t="s">
        <v>1798</v>
      </c>
      <c r="J5" s="691" t="s">
        <v>80</v>
      </c>
      <c r="K5" s="251"/>
      <c r="L5" s="251"/>
    </row>
    <row r="6" spans="1:13" ht="28.5">
      <c r="A6" s="2043"/>
      <c r="B6" s="2043"/>
      <c r="C6" s="270" t="s">
        <v>182</v>
      </c>
      <c r="D6" s="269" t="s">
        <v>641</v>
      </c>
      <c r="E6" s="270" t="s">
        <v>642</v>
      </c>
      <c r="F6" s="270" t="s">
        <v>338</v>
      </c>
      <c r="G6" s="270" t="s">
        <v>684</v>
      </c>
      <c r="H6" s="270" t="s">
        <v>346</v>
      </c>
      <c r="I6" s="270" t="s">
        <v>183</v>
      </c>
      <c r="J6" s="271"/>
      <c r="K6" s="252"/>
      <c r="L6" s="252"/>
    </row>
    <row r="7" spans="1:13">
      <c r="A7" s="2046"/>
      <c r="B7" s="2046"/>
      <c r="C7" s="270"/>
      <c r="D7" s="270"/>
      <c r="E7" s="270"/>
      <c r="F7" s="270"/>
      <c r="G7" s="270"/>
      <c r="H7" s="270"/>
      <c r="I7" s="270"/>
      <c r="J7" s="271"/>
      <c r="K7" s="252"/>
      <c r="L7" s="252"/>
    </row>
    <row r="8" spans="1:13">
      <c r="A8" s="253">
        <v>1</v>
      </c>
      <c r="B8" s="254" t="s">
        <v>643</v>
      </c>
      <c r="C8" s="255"/>
      <c r="D8" s="537"/>
      <c r="E8" s="519">
        <f>+C12</f>
        <v>0</v>
      </c>
      <c r="F8" s="519"/>
      <c r="G8" s="519"/>
      <c r="H8" s="519">
        <f>+E12</f>
        <v>24.216557750762764</v>
      </c>
      <c r="I8" s="519">
        <f>+H12</f>
        <v>22.319062545499666</v>
      </c>
      <c r="J8" s="255"/>
      <c r="K8" s="252"/>
      <c r="L8" s="252"/>
    </row>
    <row r="9" spans="1:13">
      <c r="A9" s="253">
        <v>2</v>
      </c>
      <c r="B9" s="254" t="s">
        <v>644</v>
      </c>
      <c r="C9" s="255"/>
      <c r="D9" s="537"/>
      <c r="E9" s="519"/>
      <c r="F9" s="519"/>
      <c r="G9" s="519"/>
      <c r="H9" s="519"/>
      <c r="I9" s="519"/>
      <c r="J9" s="255"/>
      <c r="K9" s="252"/>
      <c r="L9" s="252"/>
    </row>
    <row r="10" spans="1:13">
      <c r="A10" s="253">
        <v>3</v>
      </c>
      <c r="B10" s="254" t="s">
        <v>645</v>
      </c>
      <c r="C10" s="853">
        <f>+F24_Dep!E26*70%</f>
        <v>0</v>
      </c>
      <c r="D10" s="537"/>
      <c r="E10" s="519">
        <f>+F24_Dep!C51*70%</f>
        <v>25.848436115493932</v>
      </c>
      <c r="F10" s="519"/>
      <c r="G10" s="519"/>
      <c r="H10" s="519">
        <f>+F24_Dep!C74*70%</f>
        <v>0</v>
      </c>
      <c r="I10" s="519">
        <f>+F24_Dep!C97*70%</f>
        <v>1.89</v>
      </c>
      <c r="J10" s="255"/>
      <c r="K10" s="252"/>
      <c r="L10" s="252"/>
    </row>
    <row r="11" spans="1:13">
      <c r="A11" s="253">
        <v>4</v>
      </c>
      <c r="B11" s="254" t="s">
        <v>646</v>
      </c>
      <c r="C11" s="255"/>
      <c r="D11" s="537"/>
      <c r="E11" s="519">
        <f>+F24_Dep!G51</f>
        <v>1.631878364731169</v>
      </c>
      <c r="F11" s="519"/>
      <c r="G11" s="519"/>
      <c r="H11" s="519">
        <f>+F24_Dep!G74</f>
        <v>1.8974952052630996</v>
      </c>
      <c r="I11" s="519">
        <f>+F24_Dep!G97</f>
        <v>1.9544652052630997</v>
      </c>
      <c r="J11" s="255"/>
      <c r="K11" s="252"/>
      <c r="L11" s="252"/>
    </row>
    <row r="12" spans="1:13">
      <c r="A12" s="253">
        <v>5</v>
      </c>
      <c r="B12" s="254" t="s">
        <v>647</v>
      </c>
      <c r="C12" s="853">
        <f>+C8-C9+C10-C11</f>
        <v>0</v>
      </c>
      <c r="D12" s="853">
        <f t="shared" ref="D12:I12" si="0">+D8-D9+D10-D11</f>
        <v>0</v>
      </c>
      <c r="E12" s="853">
        <f t="shared" si="0"/>
        <v>24.216557750762764</v>
      </c>
      <c r="F12" s="853">
        <f t="shared" si="0"/>
        <v>0</v>
      </c>
      <c r="G12" s="853">
        <f t="shared" si="0"/>
        <v>0</v>
      </c>
      <c r="H12" s="853">
        <f t="shared" si="0"/>
        <v>22.319062545499666</v>
      </c>
      <c r="I12" s="853">
        <f t="shared" si="0"/>
        <v>22.254597340236565</v>
      </c>
      <c r="J12" s="255"/>
      <c r="K12" s="252"/>
      <c r="L12" s="252"/>
    </row>
    <row r="13" spans="1:13">
      <c r="A13" s="253">
        <v>6</v>
      </c>
      <c r="B13" s="254" t="s">
        <v>648</v>
      </c>
      <c r="C13" s="859">
        <f>AVERAGE(C12,C8)</f>
        <v>0</v>
      </c>
      <c r="D13" s="860"/>
      <c r="E13" s="859">
        <f>AVERAGE(E12,E10)</f>
        <v>25.03249693312835</v>
      </c>
      <c r="F13" s="860"/>
      <c r="G13" s="860"/>
      <c r="H13" s="859">
        <f>AVERAGE(H12,H8)</f>
        <v>23.267810148131215</v>
      </c>
      <c r="I13" s="859">
        <f>AVERAGE(I12,I8)</f>
        <v>22.286829942868117</v>
      </c>
      <c r="J13" s="255"/>
      <c r="K13" s="252"/>
      <c r="L13" s="252"/>
    </row>
    <row r="14" spans="1:13">
      <c r="A14" s="253">
        <v>7</v>
      </c>
      <c r="B14" s="256" t="s">
        <v>649</v>
      </c>
      <c r="C14" s="919">
        <f>+'F27_Work Cap'!E105+1%</f>
        <v>9.8821917808219154E-2</v>
      </c>
      <c r="D14" s="615"/>
      <c r="E14" s="919">
        <f>+'F27_Work Cap'!E105</f>
        <v>8.8821917808219158E-2</v>
      </c>
      <c r="F14" s="920"/>
      <c r="G14" s="920"/>
      <c r="H14" s="919">
        <f>+E14+1%</f>
        <v>9.8821917808219154E-2</v>
      </c>
      <c r="I14" s="919">
        <f>+E14+1%</f>
        <v>9.8821917808219154E-2</v>
      </c>
      <c r="J14" s="255"/>
      <c r="K14" s="252"/>
      <c r="L14" s="252"/>
    </row>
    <row r="15" spans="1:13">
      <c r="A15" s="253">
        <v>8</v>
      </c>
      <c r="B15" s="471" t="s">
        <v>1416</v>
      </c>
      <c r="C15" s="853">
        <f>+C13*C14</f>
        <v>0</v>
      </c>
      <c r="D15" s="615"/>
      <c r="E15" s="853">
        <f>+E13*E14</f>
        <v>2.2234343851288245</v>
      </c>
      <c r="F15" s="519"/>
      <c r="G15" s="519"/>
      <c r="H15" s="853">
        <f>+H13*H14</f>
        <v>2.2993696220358704</v>
      </c>
      <c r="I15" s="853">
        <f>+I13*I14</f>
        <v>2.2024272768198707</v>
      </c>
      <c r="J15" s="255"/>
      <c r="K15" s="252"/>
      <c r="L15" s="252"/>
    </row>
    <row r="16" spans="1:13">
      <c r="A16" s="253">
        <v>9</v>
      </c>
      <c r="B16" s="256" t="s">
        <v>650</v>
      </c>
      <c r="C16" s="255"/>
      <c r="D16" s="615"/>
      <c r="E16" s="519">
        <f>+'[4]Notes P&amp;L'!$C$51/100</f>
        <v>0.19441340000000001</v>
      </c>
      <c r="F16" s="519"/>
      <c r="G16" s="519"/>
      <c r="H16" s="840">
        <f>'F27_Work Cap'!H126*6.5%</f>
        <v>0.28718032915648384</v>
      </c>
      <c r="I16" s="840">
        <f ca="1">AVERAGE('F27_Work Cap'!I123,'F27_Work Cap'!I125)*6.5%</f>
        <v>0.49697239895099266</v>
      </c>
      <c r="J16" s="255"/>
      <c r="K16" s="252"/>
      <c r="L16" s="252"/>
    </row>
    <row r="17" spans="1:12">
      <c r="A17" s="253">
        <v>10</v>
      </c>
      <c r="B17" s="471" t="s">
        <v>2097</v>
      </c>
      <c r="C17" s="255"/>
      <c r="D17" s="615"/>
      <c r="E17" s="519">
        <f>+'[3]True-up'!$G$157</f>
        <v>2.5059999999999998E-6</v>
      </c>
      <c r="F17" s="519"/>
      <c r="G17" s="519"/>
      <c r="H17" s="519"/>
      <c r="I17" s="519"/>
      <c r="J17" s="255"/>
      <c r="K17" s="252"/>
      <c r="L17" s="252"/>
    </row>
    <row r="18" spans="1:12">
      <c r="A18" s="253">
        <v>11</v>
      </c>
      <c r="B18" s="257" t="s">
        <v>685</v>
      </c>
      <c r="C18" s="859">
        <f>+C15+C16</f>
        <v>0</v>
      </c>
      <c r="D18" s="556"/>
      <c r="E18" s="859">
        <f>+E15+E16+E17</f>
        <v>2.4178502911288247</v>
      </c>
      <c r="F18" s="556"/>
      <c r="G18" s="556"/>
      <c r="H18" s="859">
        <f>+H15+H16+H17</f>
        <v>2.586549951192354</v>
      </c>
      <c r="I18" s="859">
        <f ca="1">+I15+I16+I17</f>
        <v>2.6993996757708634</v>
      </c>
      <c r="J18" s="255"/>
      <c r="K18" s="252"/>
      <c r="L18" s="252"/>
    </row>
    <row r="19" spans="1:12" s="245" customFormat="1">
      <c r="A19" s="248"/>
      <c r="B19" s="249"/>
      <c r="C19" s="249"/>
      <c r="D19" s="244"/>
      <c r="E19" s="244"/>
      <c r="F19" s="244"/>
      <c r="G19" s="244"/>
      <c r="K19" s="244"/>
    </row>
    <row r="20" spans="1:12">
      <c r="A20" s="246" t="s">
        <v>651</v>
      </c>
      <c r="C20" s="246"/>
    </row>
    <row r="21" spans="1:12">
      <c r="H21" s="250"/>
      <c r="K21" s="250"/>
    </row>
    <row r="22" spans="1:12" ht="30" customHeight="1">
      <c r="A22" s="2042" t="s">
        <v>640</v>
      </c>
      <c r="B22" s="2042" t="s">
        <v>147</v>
      </c>
      <c r="C22" s="2044" t="s">
        <v>652</v>
      </c>
      <c r="D22" s="2056" t="s">
        <v>2093</v>
      </c>
      <c r="E22" s="2056" t="s">
        <v>2094</v>
      </c>
      <c r="F22" s="2056" t="s">
        <v>2095</v>
      </c>
      <c r="G22" s="251"/>
    </row>
    <row r="23" spans="1:12" ht="14.45" customHeight="1">
      <c r="A23" s="2043"/>
      <c r="B23" s="2043"/>
      <c r="C23" s="2045"/>
      <c r="D23" s="2057"/>
      <c r="E23" s="2057"/>
      <c r="F23" s="2057"/>
      <c r="G23" s="252"/>
    </row>
    <row r="24" spans="1:12">
      <c r="A24" s="260">
        <v>1</v>
      </c>
      <c r="B24" s="257" t="s">
        <v>1419</v>
      </c>
      <c r="C24" s="261"/>
      <c r="D24" s="255"/>
      <c r="E24" s="255"/>
      <c r="F24" s="255"/>
      <c r="G24" s="252"/>
    </row>
    <row r="25" spans="1:12">
      <c r="A25" s="253">
        <v>1.1000000000000001</v>
      </c>
      <c r="B25" s="254" t="s">
        <v>653</v>
      </c>
      <c r="C25" s="261" t="s">
        <v>139</v>
      </c>
      <c r="D25" s="2047" t="s">
        <v>2062</v>
      </c>
      <c r="E25" s="2048"/>
      <c r="F25" s="2049"/>
      <c r="G25" s="252"/>
    </row>
    <row r="26" spans="1:12">
      <c r="A26" s="253">
        <v>1.2</v>
      </c>
      <c r="B26" s="254" t="s">
        <v>654</v>
      </c>
      <c r="C26" s="261" t="s">
        <v>655</v>
      </c>
      <c r="D26" s="2050"/>
      <c r="E26" s="2051"/>
      <c r="F26" s="2052"/>
      <c r="G26" s="252"/>
    </row>
    <row r="27" spans="1:12">
      <c r="A27" s="253">
        <v>1.3</v>
      </c>
      <c r="B27" s="254" t="s">
        <v>656</v>
      </c>
      <c r="C27" s="261" t="s">
        <v>657</v>
      </c>
      <c r="D27" s="2050"/>
      <c r="E27" s="2051"/>
      <c r="F27" s="2052"/>
      <c r="G27" s="252"/>
    </row>
    <row r="28" spans="1:12">
      <c r="A28" s="253">
        <v>1.4</v>
      </c>
      <c r="B28" s="254" t="s">
        <v>658</v>
      </c>
      <c r="C28" s="261" t="s">
        <v>659</v>
      </c>
      <c r="D28" s="2050"/>
      <c r="E28" s="2051"/>
      <c r="F28" s="2052"/>
      <c r="G28" s="252"/>
    </row>
    <row r="29" spans="1:12">
      <c r="A29" s="253">
        <v>1.5</v>
      </c>
      <c r="B29" s="254" t="s">
        <v>660</v>
      </c>
      <c r="C29" s="261" t="s">
        <v>661</v>
      </c>
      <c r="D29" s="2050"/>
      <c r="E29" s="2051"/>
      <c r="F29" s="2052"/>
      <c r="G29" s="252"/>
    </row>
    <row r="30" spans="1:12">
      <c r="A30" s="253">
        <v>1.6</v>
      </c>
      <c r="B30" s="254" t="s">
        <v>662</v>
      </c>
      <c r="C30" s="261" t="s">
        <v>29</v>
      </c>
      <c r="D30" s="2050"/>
      <c r="E30" s="2051"/>
      <c r="F30" s="2052"/>
      <c r="G30" s="252"/>
    </row>
    <row r="31" spans="1:12">
      <c r="A31" s="253">
        <v>1.7</v>
      </c>
      <c r="B31" s="254" t="s">
        <v>663</v>
      </c>
      <c r="C31" s="261" t="s">
        <v>664</v>
      </c>
      <c r="D31" s="2050"/>
      <c r="E31" s="2051"/>
      <c r="F31" s="2052"/>
      <c r="G31" s="252"/>
    </row>
    <row r="32" spans="1:12">
      <c r="A32" s="253"/>
      <c r="B32" s="254"/>
      <c r="C32" s="261"/>
      <c r="D32" s="2050"/>
      <c r="E32" s="2051"/>
      <c r="F32" s="2052"/>
      <c r="G32" s="252"/>
    </row>
    <row r="33" spans="1:7">
      <c r="A33" s="260">
        <v>2</v>
      </c>
      <c r="B33" s="257" t="s">
        <v>1420</v>
      </c>
      <c r="C33" s="261"/>
      <c r="D33" s="2050"/>
      <c r="E33" s="2051"/>
      <c r="F33" s="2052"/>
      <c r="G33" s="252"/>
    </row>
    <row r="34" spans="1:7">
      <c r="A34" s="253">
        <f>A33+0.1</f>
        <v>2.1</v>
      </c>
      <c r="B34" s="254" t="s">
        <v>653</v>
      </c>
      <c r="C34" s="261" t="s">
        <v>665</v>
      </c>
      <c r="D34" s="2050"/>
      <c r="E34" s="2051"/>
      <c r="F34" s="2052"/>
      <c r="G34" s="252"/>
    </row>
    <row r="35" spans="1:7">
      <c r="A35" s="253">
        <v>2.2000000000000002</v>
      </c>
      <c r="B35" s="254" t="s">
        <v>654</v>
      </c>
      <c r="C35" s="261" t="s">
        <v>666</v>
      </c>
      <c r="D35" s="2050"/>
      <c r="E35" s="2051"/>
      <c r="F35" s="2052"/>
      <c r="G35" s="252"/>
    </row>
    <row r="36" spans="1:7">
      <c r="A36" s="253">
        <v>2.2999999999999998</v>
      </c>
      <c r="B36" s="254" t="s">
        <v>656</v>
      </c>
      <c r="C36" s="261" t="s">
        <v>667</v>
      </c>
      <c r="D36" s="2050"/>
      <c r="E36" s="2051"/>
      <c r="F36" s="2052"/>
      <c r="G36" s="252"/>
    </row>
    <row r="37" spans="1:7">
      <c r="A37" s="253">
        <v>2.4</v>
      </c>
      <c r="B37" s="254" t="s">
        <v>658</v>
      </c>
      <c r="C37" s="261" t="s">
        <v>668</v>
      </c>
      <c r="D37" s="2050"/>
      <c r="E37" s="2051"/>
      <c r="F37" s="2052"/>
      <c r="G37" s="252"/>
    </row>
    <row r="38" spans="1:7">
      <c r="A38" s="253">
        <v>2.5</v>
      </c>
      <c r="B38" s="254" t="s">
        <v>660</v>
      </c>
      <c r="C38" s="261" t="s">
        <v>669</v>
      </c>
      <c r="D38" s="2050"/>
      <c r="E38" s="2051"/>
      <c r="F38" s="2052"/>
      <c r="G38" s="252"/>
    </row>
    <row r="39" spans="1:7">
      <c r="A39" s="253">
        <v>2.6</v>
      </c>
      <c r="B39" s="254" t="s">
        <v>662</v>
      </c>
      <c r="C39" s="261" t="s">
        <v>30</v>
      </c>
      <c r="D39" s="2050"/>
      <c r="E39" s="2051"/>
      <c r="F39" s="2052"/>
      <c r="G39" s="252"/>
    </row>
    <row r="40" spans="1:7">
      <c r="A40" s="253">
        <v>2.7</v>
      </c>
      <c r="B40" s="254" t="s">
        <v>663</v>
      </c>
      <c r="C40" s="261" t="s">
        <v>670</v>
      </c>
      <c r="D40" s="2050"/>
      <c r="E40" s="2051"/>
      <c r="F40" s="2052"/>
      <c r="G40" s="252"/>
    </row>
    <row r="41" spans="1:7">
      <c r="A41" s="253"/>
      <c r="B41" s="254"/>
      <c r="C41" s="261"/>
      <c r="D41" s="2050"/>
      <c r="E41" s="2051"/>
      <c r="F41" s="2052"/>
      <c r="G41" s="252"/>
    </row>
    <row r="42" spans="1:7">
      <c r="A42" s="260">
        <v>3</v>
      </c>
      <c r="B42" s="257" t="s">
        <v>671</v>
      </c>
      <c r="C42" s="261"/>
      <c r="D42" s="2050"/>
      <c r="E42" s="2051"/>
      <c r="F42" s="2052"/>
      <c r="G42" s="252"/>
    </row>
    <row r="43" spans="1:7">
      <c r="A43" s="253"/>
      <c r="B43" s="254" t="s">
        <v>672</v>
      </c>
      <c r="C43" s="261"/>
      <c r="D43" s="2050"/>
      <c r="E43" s="2051"/>
      <c r="F43" s="2052"/>
      <c r="G43" s="252"/>
    </row>
    <row r="44" spans="1:7">
      <c r="A44" s="253"/>
      <c r="B44" s="254" t="s">
        <v>672</v>
      </c>
      <c r="C44" s="261"/>
      <c r="D44" s="2050"/>
      <c r="E44" s="2051"/>
      <c r="F44" s="2052"/>
      <c r="G44" s="252"/>
    </row>
    <row r="45" spans="1:7">
      <c r="A45" s="253"/>
      <c r="B45" s="254"/>
      <c r="C45" s="261"/>
      <c r="D45" s="2050"/>
      <c r="E45" s="2051"/>
      <c r="F45" s="2052"/>
      <c r="G45" s="252"/>
    </row>
    <row r="46" spans="1:7">
      <c r="A46" s="253"/>
      <c r="B46" s="254" t="s">
        <v>672</v>
      </c>
      <c r="C46" s="261"/>
      <c r="D46" s="2050"/>
      <c r="E46" s="2051"/>
      <c r="F46" s="2052"/>
      <c r="G46" s="252"/>
    </row>
    <row r="47" spans="1:7">
      <c r="A47" s="253"/>
      <c r="B47" s="254"/>
      <c r="C47" s="261"/>
      <c r="D47" s="2050"/>
      <c r="E47" s="2051"/>
      <c r="F47" s="2052"/>
      <c r="G47" s="252"/>
    </row>
    <row r="48" spans="1:7">
      <c r="A48" s="260">
        <v>10</v>
      </c>
      <c r="B48" s="257" t="s">
        <v>18</v>
      </c>
      <c r="C48" s="261"/>
      <c r="D48" s="2050"/>
      <c r="E48" s="2051"/>
      <c r="F48" s="2052"/>
      <c r="G48" s="252"/>
    </row>
    <row r="49" spans="1:12">
      <c r="A49" s="253">
        <v>10.1</v>
      </c>
      <c r="B49" s="254" t="s">
        <v>673</v>
      </c>
      <c r="C49" s="261" t="s">
        <v>32</v>
      </c>
      <c r="D49" s="2050"/>
      <c r="E49" s="2051"/>
      <c r="F49" s="2052"/>
      <c r="G49" s="252"/>
    </row>
    <row r="50" spans="1:12">
      <c r="A50" s="253">
        <v>10.199999999999999</v>
      </c>
      <c r="B50" s="254" t="s">
        <v>674</v>
      </c>
      <c r="C50" s="261" t="s">
        <v>33</v>
      </c>
      <c r="D50" s="2050"/>
      <c r="E50" s="2051"/>
      <c r="F50" s="2052"/>
      <c r="G50" s="252"/>
    </row>
    <row r="51" spans="1:12">
      <c r="A51" s="253">
        <v>10.3</v>
      </c>
      <c r="B51" s="254" t="s">
        <v>675</v>
      </c>
      <c r="C51" s="261" t="s">
        <v>39</v>
      </c>
      <c r="D51" s="2050"/>
      <c r="E51" s="2051"/>
      <c r="F51" s="2052"/>
      <c r="G51" s="252"/>
    </row>
    <row r="52" spans="1:12">
      <c r="A52" s="253">
        <v>10.4</v>
      </c>
      <c r="B52" s="254" t="s">
        <v>658</v>
      </c>
      <c r="C52" s="261" t="s">
        <v>315</v>
      </c>
      <c r="D52" s="2050"/>
      <c r="E52" s="2051"/>
      <c r="F52" s="2052"/>
      <c r="G52" s="252"/>
    </row>
    <row r="53" spans="1:12">
      <c r="A53" s="253">
        <v>10.5</v>
      </c>
      <c r="B53" s="254" t="s">
        <v>660</v>
      </c>
      <c r="C53" s="261" t="s">
        <v>676</v>
      </c>
      <c r="D53" s="2050"/>
      <c r="E53" s="2051"/>
      <c r="F53" s="2052"/>
      <c r="G53" s="252"/>
    </row>
    <row r="54" spans="1:12">
      <c r="A54" s="253">
        <v>10.6</v>
      </c>
      <c r="B54" s="254" t="s">
        <v>677</v>
      </c>
      <c r="C54" s="261" t="s">
        <v>90</v>
      </c>
      <c r="D54" s="2050"/>
      <c r="E54" s="2051"/>
      <c r="F54" s="2052"/>
      <c r="G54" s="252"/>
    </row>
    <row r="55" spans="1:12">
      <c r="A55" s="253">
        <v>10.7</v>
      </c>
      <c r="B55" s="254" t="s">
        <v>678</v>
      </c>
      <c r="C55" s="262" t="s">
        <v>679</v>
      </c>
      <c r="D55" s="2050"/>
      <c r="E55" s="2051"/>
      <c r="F55" s="2052"/>
      <c r="G55" s="252"/>
    </row>
    <row r="56" spans="1:12">
      <c r="A56" s="253">
        <v>10.8</v>
      </c>
      <c r="B56" s="254" t="s">
        <v>678</v>
      </c>
      <c r="C56" s="263" t="s">
        <v>680</v>
      </c>
      <c r="D56" s="2050"/>
      <c r="E56" s="2051"/>
      <c r="F56" s="2052"/>
      <c r="G56" s="252"/>
    </row>
    <row r="57" spans="1:12">
      <c r="A57" s="253"/>
      <c r="B57" s="254"/>
      <c r="C57" s="261"/>
      <c r="D57" s="2050"/>
      <c r="E57" s="2051"/>
      <c r="F57" s="2052"/>
      <c r="G57" s="252"/>
    </row>
    <row r="58" spans="1:12">
      <c r="A58" s="253">
        <v>9</v>
      </c>
      <c r="B58" s="257" t="s">
        <v>681</v>
      </c>
      <c r="C58" s="261"/>
      <c r="D58" s="2050"/>
      <c r="E58" s="2051"/>
      <c r="F58" s="2052"/>
      <c r="G58" s="252"/>
    </row>
    <row r="59" spans="1:12">
      <c r="A59" s="253">
        <v>10</v>
      </c>
      <c r="B59" s="264" t="s">
        <v>682</v>
      </c>
      <c r="C59" s="265"/>
      <c r="D59" s="2050"/>
      <c r="E59" s="2051"/>
      <c r="F59" s="2052"/>
      <c r="G59" s="252"/>
    </row>
    <row r="60" spans="1:12">
      <c r="A60" s="260">
        <v>11</v>
      </c>
      <c r="B60" s="258" t="s">
        <v>683</v>
      </c>
      <c r="C60" s="253"/>
      <c r="D60" s="2050"/>
      <c r="E60" s="2051"/>
      <c r="F60" s="2052"/>
      <c r="G60" s="252"/>
    </row>
    <row r="61" spans="1:12">
      <c r="A61" s="253"/>
      <c r="B61" s="266"/>
      <c r="C61" s="267"/>
      <c r="D61" s="2053"/>
      <c r="E61" s="2054"/>
      <c r="F61" s="2055"/>
      <c r="G61" s="252"/>
    </row>
    <row r="62" spans="1:12">
      <c r="B62" s="268"/>
      <c r="C62" s="268"/>
      <c r="J62" s="252"/>
      <c r="K62" s="252"/>
      <c r="L62" s="252"/>
    </row>
    <row r="63" spans="1:12">
      <c r="B63" s="2041"/>
      <c r="C63" s="2041"/>
      <c r="J63" s="252"/>
      <c r="K63" s="252"/>
      <c r="L63" s="252"/>
    </row>
  </sheetData>
  <mergeCells count="12">
    <mergeCell ref="D25:F61"/>
    <mergeCell ref="D22:D23"/>
    <mergeCell ref="D5:F5"/>
    <mergeCell ref="G5:H5"/>
    <mergeCell ref="E22:E23"/>
    <mergeCell ref="F22:F23"/>
    <mergeCell ref="B63:C63"/>
    <mergeCell ref="A22:A23"/>
    <mergeCell ref="B22:B23"/>
    <mergeCell ref="C22:C23"/>
    <mergeCell ref="A5:A7"/>
    <mergeCell ref="B5:B7"/>
  </mergeCells>
  <pageMargins left="0.2" right="0.23622047244094491" top="0.7" bottom="0.48" header="0.23622047244094491" footer="0.23622047244094491"/>
  <pageSetup paperSize="9" scale="82" fitToHeight="0" orientation="landscape" r:id="rId1"/>
  <headerFooter alignWithMargins="0"/>
  <rowBreaks count="1" manualBreakCount="1">
    <brk id="19" max="9"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FFFF"/>
    <pageSetUpPr fitToPage="1"/>
  </sheetPr>
  <dimension ref="A1:L16"/>
  <sheetViews>
    <sheetView zoomScaleNormal="100" zoomScaleSheetLayoutView="85" workbookViewId="0">
      <selection activeCell="L13" sqref="L13"/>
    </sheetView>
  </sheetViews>
  <sheetFormatPr defaultRowHeight="14.25"/>
  <cols>
    <col min="2" max="2" width="32.53125" customWidth="1"/>
    <col min="3" max="5" width="10.19921875" bestFit="1" customWidth="1"/>
    <col min="6" max="6" width="11.53125" bestFit="1" customWidth="1"/>
    <col min="7" max="12" width="12.53125" customWidth="1"/>
  </cols>
  <sheetData>
    <row r="1" spans="1:12">
      <c r="A1" s="1597" t="s">
        <v>1824</v>
      </c>
      <c r="B1" s="1597"/>
      <c r="C1" s="219"/>
      <c r="D1" s="219"/>
      <c r="E1" s="219"/>
      <c r="F1" s="219"/>
    </row>
    <row r="2" spans="1:12">
      <c r="A2" s="1931" t="str">
        <f>+'BS1'!A2</f>
        <v>NIDP DEVELOPERS PRIVATE LIMITED</v>
      </c>
      <c r="B2" s="1931"/>
      <c r="C2" s="1931"/>
      <c r="D2" s="1931"/>
      <c r="E2" s="1931"/>
      <c r="F2" s="1931"/>
      <c r="G2" s="1931"/>
      <c r="H2" s="1931"/>
      <c r="I2" s="1931"/>
      <c r="J2" s="179"/>
    </row>
    <row r="3" spans="1:12">
      <c r="A3" s="279" t="s">
        <v>1450</v>
      </c>
      <c r="B3" s="279"/>
      <c r="C3" s="279"/>
      <c r="D3" s="279"/>
      <c r="E3" s="279"/>
      <c r="F3" s="279"/>
      <c r="G3" s="279"/>
      <c r="H3" s="1875"/>
      <c r="I3" s="1875"/>
      <c r="J3" s="172"/>
      <c r="K3" s="172"/>
      <c r="L3" s="172"/>
    </row>
    <row r="4" spans="1:12">
      <c r="A4" s="14"/>
      <c r="B4" s="14"/>
      <c r="C4" s="14"/>
      <c r="D4" s="14"/>
      <c r="E4" s="14"/>
      <c r="F4" s="14"/>
      <c r="G4" s="14"/>
      <c r="H4" s="1619"/>
      <c r="I4" s="1619"/>
      <c r="J4" s="171"/>
      <c r="K4" s="171"/>
      <c r="L4" s="171" t="s">
        <v>37</v>
      </c>
    </row>
    <row r="5" spans="1:12" ht="30" customHeight="1">
      <c r="A5" s="1481" t="s">
        <v>74</v>
      </c>
      <c r="B5" s="1583" t="s">
        <v>536</v>
      </c>
      <c r="C5" s="1488" t="s">
        <v>620</v>
      </c>
      <c r="D5" s="1488"/>
      <c r="E5" s="1488"/>
      <c r="F5" s="1488"/>
      <c r="G5" s="1978" t="s">
        <v>336</v>
      </c>
      <c r="H5" s="1978"/>
      <c r="I5" s="1978"/>
      <c r="J5" s="1568" t="s">
        <v>344</v>
      </c>
      <c r="K5" s="1569"/>
      <c r="L5" s="147" t="s">
        <v>739</v>
      </c>
    </row>
    <row r="6" spans="1:12">
      <c r="A6" s="1481"/>
      <c r="B6" s="1584"/>
      <c r="C6" s="146" t="s">
        <v>339</v>
      </c>
      <c r="D6" s="146" t="s">
        <v>340</v>
      </c>
      <c r="E6" s="146" t="s">
        <v>341</v>
      </c>
      <c r="F6" s="146" t="s">
        <v>342</v>
      </c>
      <c r="G6" s="1982" t="s">
        <v>343</v>
      </c>
      <c r="H6" s="2061"/>
      <c r="I6" s="1983"/>
      <c r="J6" s="1982" t="s">
        <v>1442</v>
      </c>
      <c r="K6" s="1983"/>
      <c r="L6" s="152" t="s">
        <v>2024</v>
      </c>
    </row>
    <row r="7" spans="1:12" ht="25.5" customHeight="1">
      <c r="A7" s="1481"/>
      <c r="B7" s="1584"/>
      <c r="C7" s="146" t="s">
        <v>347</v>
      </c>
      <c r="D7" s="146" t="s">
        <v>347</v>
      </c>
      <c r="E7" s="146" t="s">
        <v>347</v>
      </c>
      <c r="F7" s="146" t="s">
        <v>347</v>
      </c>
      <c r="G7" s="151" t="s">
        <v>337</v>
      </c>
      <c r="H7" s="152" t="s">
        <v>182</v>
      </c>
      <c r="I7" s="152" t="s">
        <v>338</v>
      </c>
      <c r="J7" s="151" t="s">
        <v>337</v>
      </c>
      <c r="K7" s="151" t="s">
        <v>346</v>
      </c>
      <c r="L7" s="152" t="s">
        <v>183</v>
      </c>
    </row>
    <row r="8" spans="1:12" ht="14.45" customHeight="1">
      <c r="A8" s="5">
        <v>1</v>
      </c>
      <c r="B8" s="71" t="s">
        <v>69</v>
      </c>
      <c r="C8" s="2062" t="s">
        <v>2062</v>
      </c>
      <c r="D8" s="2063"/>
      <c r="E8" s="2063"/>
      <c r="F8" s="2064"/>
      <c r="G8" s="718"/>
      <c r="H8" s="862">
        <f>+F10</f>
        <v>0</v>
      </c>
      <c r="I8" s="718">
        <f>+F10</f>
        <v>0</v>
      </c>
      <c r="J8" s="863"/>
      <c r="K8" s="718">
        <f>+H10</f>
        <v>11.077901192354544</v>
      </c>
      <c r="L8" s="718">
        <f>+K10</f>
        <v>11.077901192354544</v>
      </c>
    </row>
    <row r="9" spans="1:12" ht="14.45" customHeight="1">
      <c r="A9" s="5">
        <f>A8+1</f>
        <v>2</v>
      </c>
      <c r="B9" s="71" t="s">
        <v>70</v>
      </c>
      <c r="C9" s="2065"/>
      <c r="D9" s="2066"/>
      <c r="E9" s="2066"/>
      <c r="F9" s="2067"/>
      <c r="G9" s="718"/>
      <c r="H9" s="862">
        <f>+F24_Dep!C51*30%</f>
        <v>11.077901192354544</v>
      </c>
      <c r="I9" s="718">
        <f>+H9</f>
        <v>11.077901192354544</v>
      </c>
      <c r="J9" s="718"/>
      <c r="K9" s="718">
        <f>+F24_Dep!C74*30%</f>
        <v>0</v>
      </c>
      <c r="L9" s="718">
        <f>+F24_Dep!C97*30%</f>
        <v>0.81</v>
      </c>
    </row>
    <row r="10" spans="1:12" ht="14.45" customHeight="1">
      <c r="A10" s="5">
        <f>A9+1</f>
        <v>3</v>
      </c>
      <c r="B10" s="71" t="s">
        <v>71</v>
      </c>
      <c r="C10" s="2065"/>
      <c r="D10" s="2066"/>
      <c r="E10" s="2066"/>
      <c r="F10" s="2067"/>
      <c r="G10" s="718">
        <f t="shared" ref="G10:K10" si="0">+G8+G9</f>
        <v>0</v>
      </c>
      <c r="H10" s="718">
        <f t="shared" si="0"/>
        <v>11.077901192354544</v>
      </c>
      <c r="I10" s="718">
        <f t="shared" si="0"/>
        <v>11.077901192354544</v>
      </c>
      <c r="J10" s="718">
        <f t="shared" si="0"/>
        <v>0</v>
      </c>
      <c r="K10" s="718">
        <f t="shared" si="0"/>
        <v>11.077901192354544</v>
      </c>
      <c r="L10" s="718">
        <f t="shared" ref="L10" si="1">+L8+L9</f>
        <v>11.887901192354544</v>
      </c>
    </row>
    <row r="11" spans="1:12" ht="14.45" customHeight="1">
      <c r="A11" s="5">
        <f>A10+1</f>
        <v>4</v>
      </c>
      <c r="B11" s="71" t="s">
        <v>72</v>
      </c>
      <c r="C11" s="2065"/>
      <c r="D11" s="2066"/>
      <c r="E11" s="2066"/>
      <c r="F11" s="2067"/>
      <c r="G11" s="864">
        <f t="shared" ref="G11:L11" si="2">AVERAGE(G10,G8)</f>
        <v>0</v>
      </c>
      <c r="H11" s="864">
        <f>AVERAGE(H10,H9)</f>
        <v>11.077901192354544</v>
      </c>
      <c r="I11" s="864">
        <f>AVERAGE(I10,I9)</f>
        <v>11.077901192354544</v>
      </c>
      <c r="J11" s="864">
        <f t="shared" si="2"/>
        <v>0</v>
      </c>
      <c r="K11" s="864">
        <f t="shared" si="2"/>
        <v>11.077901192354544</v>
      </c>
      <c r="L11" s="864">
        <f t="shared" si="2"/>
        <v>11.482901192354543</v>
      </c>
    </row>
    <row r="12" spans="1:12" ht="14.45" customHeight="1">
      <c r="A12" s="5">
        <f>A11+1</f>
        <v>5</v>
      </c>
      <c r="B12" s="71" t="s">
        <v>73</v>
      </c>
      <c r="C12" s="2065"/>
      <c r="D12" s="2066"/>
      <c r="E12" s="2066"/>
      <c r="F12" s="2067"/>
      <c r="G12" s="865"/>
      <c r="H12" s="866">
        <v>0.15</v>
      </c>
      <c r="I12" s="866">
        <v>0.15</v>
      </c>
      <c r="J12" s="865"/>
      <c r="K12" s="865">
        <v>0.15</v>
      </c>
      <c r="L12" s="865">
        <v>0.15</v>
      </c>
    </row>
    <row r="13" spans="1:12" ht="14.45" customHeight="1">
      <c r="A13" s="5">
        <v>6</v>
      </c>
      <c r="B13" s="71" t="s">
        <v>28</v>
      </c>
      <c r="C13" s="2068"/>
      <c r="D13" s="2069"/>
      <c r="E13" s="2069"/>
      <c r="F13" s="2070"/>
      <c r="G13" s="867">
        <f t="shared" ref="G13:L13" si="3">G11*G12</f>
        <v>0</v>
      </c>
      <c r="H13" s="867">
        <f t="shared" si="3"/>
        <v>1.6616851788531815</v>
      </c>
      <c r="I13" s="867">
        <f t="shared" si="3"/>
        <v>1.6616851788531815</v>
      </c>
      <c r="J13" s="867">
        <f t="shared" si="3"/>
        <v>0</v>
      </c>
      <c r="K13" s="867">
        <f t="shared" si="3"/>
        <v>1.6616851788531815</v>
      </c>
      <c r="L13" s="867">
        <f t="shared" si="3"/>
        <v>1.7224351788531813</v>
      </c>
    </row>
    <row r="14" spans="1:12">
      <c r="A14" s="22"/>
      <c r="B14" s="23"/>
      <c r="C14" s="23"/>
      <c r="D14" s="23"/>
      <c r="E14" s="23"/>
      <c r="F14" s="23"/>
      <c r="I14" s="22"/>
      <c r="J14" s="22"/>
    </row>
    <row r="16" spans="1:12">
      <c r="G16" s="1670"/>
      <c r="H16" s="1670"/>
      <c r="I16" s="1670"/>
      <c r="J16" s="32"/>
    </row>
  </sheetData>
  <mergeCells count="13">
    <mergeCell ref="A1:B1"/>
    <mergeCell ref="G6:I6"/>
    <mergeCell ref="J5:K5"/>
    <mergeCell ref="J6:K6"/>
    <mergeCell ref="G16:I16"/>
    <mergeCell ref="A2:I2"/>
    <mergeCell ref="H3:I3"/>
    <mergeCell ref="H4:I4"/>
    <mergeCell ref="A5:A7"/>
    <mergeCell ref="B5:B7"/>
    <mergeCell ref="G5:I5"/>
    <mergeCell ref="C5:F5"/>
    <mergeCell ref="C8:F13"/>
  </mergeCells>
  <printOptions horizontalCentered="1"/>
  <pageMargins left="0.70866141732283472" right="0.70866141732283472" top="0.74803149606299213" bottom="0.74803149606299213" header="0.31496062992125984" footer="0.31496062992125984"/>
  <pageSetup paperSize="5"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00FFFF"/>
  </sheetPr>
  <dimension ref="A1:K128"/>
  <sheetViews>
    <sheetView showGridLines="0" view="pageBreakPreview" topLeftCell="A5" zoomScale="85" zoomScaleNormal="100" zoomScaleSheetLayoutView="85" workbookViewId="0">
      <selection activeCell="I12" sqref="I12"/>
    </sheetView>
  </sheetViews>
  <sheetFormatPr defaultColWidth="9.19921875" defaultRowHeight="14.25"/>
  <cols>
    <col min="1" max="1" width="9.19921875" style="576"/>
    <col min="2" max="2" width="33.46484375" style="576" customWidth="1"/>
    <col min="3" max="3" width="12" style="576" customWidth="1"/>
    <col min="4" max="4" width="12.19921875" style="576" customWidth="1"/>
    <col min="5" max="5" width="8.19921875" style="576" bestFit="1" customWidth="1"/>
    <col min="6" max="6" width="9.53125" style="576" bestFit="1" customWidth="1"/>
    <col min="7" max="7" width="13.19921875" style="576" customWidth="1"/>
    <col min="8" max="8" width="13.796875" style="576" bestFit="1" customWidth="1"/>
    <col min="9" max="9" width="13.1328125" style="576" bestFit="1" customWidth="1"/>
    <col min="10" max="16384" width="9.19921875" style="576"/>
  </cols>
  <sheetData>
    <row r="1" spans="1:11">
      <c r="A1" s="1631" t="s">
        <v>1825</v>
      </c>
      <c r="B1" s="1631"/>
      <c r="C1" s="594"/>
    </row>
    <row r="2" spans="1:11">
      <c r="A2" s="1482" t="str">
        <f>+'BS1'!A2</f>
        <v>NIDP DEVELOPERS PRIVATE LIMITED</v>
      </c>
      <c r="B2" s="1482"/>
      <c r="C2" s="1482"/>
      <c r="D2" s="1482"/>
      <c r="E2" s="1482"/>
      <c r="F2" s="1482"/>
      <c r="G2" s="179"/>
    </row>
    <row r="3" spans="1:11">
      <c r="A3" s="851" t="s">
        <v>5</v>
      </c>
      <c r="B3" s="851"/>
      <c r="C3" s="851"/>
      <c r="D3" s="851"/>
      <c r="E3" s="2075"/>
      <c r="F3" s="2075"/>
      <c r="G3" s="852"/>
      <c r="H3" s="2075"/>
      <c r="I3" s="2075"/>
    </row>
    <row r="4" spans="1:11">
      <c r="A4" s="457"/>
      <c r="B4" s="457"/>
      <c r="C4" s="457"/>
      <c r="D4" s="457"/>
      <c r="E4" s="2076"/>
      <c r="F4" s="2076"/>
      <c r="G4" s="878"/>
      <c r="H4" s="2077" t="s">
        <v>93</v>
      </c>
      <c r="I4" s="2077"/>
    </row>
    <row r="5" spans="1:11">
      <c r="A5" s="1481" t="s">
        <v>8</v>
      </c>
      <c r="B5" s="1488" t="s">
        <v>10</v>
      </c>
      <c r="C5" s="649" t="s">
        <v>703</v>
      </c>
      <c r="D5" s="1978" t="s">
        <v>336</v>
      </c>
      <c r="E5" s="1978"/>
      <c r="F5" s="1978"/>
      <c r="G5" s="1990" t="s">
        <v>344</v>
      </c>
      <c r="H5" s="1991"/>
      <c r="I5" s="152" t="s">
        <v>739</v>
      </c>
    </row>
    <row r="6" spans="1:11">
      <c r="A6" s="1481"/>
      <c r="B6" s="1488"/>
      <c r="C6" s="146" t="s">
        <v>342</v>
      </c>
      <c r="D6" s="1570" t="s">
        <v>343</v>
      </c>
      <c r="E6" s="1586"/>
      <c r="F6" s="1571"/>
      <c r="G6" s="1570" t="s">
        <v>1442</v>
      </c>
      <c r="H6" s="1571"/>
      <c r="I6" s="146" t="s">
        <v>2024</v>
      </c>
    </row>
    <row r="7" spans="1:11" ht="28.5">
      <c r="A7" s="1481"/>
      <c r="B7" s="1488"/>
      <c r="C7" s="146" t="s">
        <v>347</v>
      </c>
      <c r="D7" s="151" t="s">
        <v>337</v>
      </c>
      <c r="E7" s="152" t="s">
        <v>182</v>
      </c>
      <c r="F7" s="152" t="s">
        <v>338</v>
      </c>
      <c r="G7" s="151" t="s">
        <v>337</v>
      </c>
      <c r="H7" s="151" t="s">
        <v>1415</v>
      </c>
      <c r="I7" s="152" t="s">
        <v>183</v>
      </c>
    </row>
    <row r="8" spans="1:11">
      <c r="A8" s="6">
        <v>1</v>
      </c>
      <c r="B8" s="879" t="s">
        <v>76</v>
      </c>
      <c r="C8" s="1494" t="s">
        <v>2062</v>
      </c>
      <c r="D8" s="870"/>
      <c r="E8" s="667">
        <f>+('F19_O&amp;M_EE n AG base'!G9+'F19_O&amp;M_EE n AG base'!G10+'F22_O&amp;M_R&amp;M'!D14)/12</f>
        <v>0.25968366969292239</v>
      </c>
      <c r="F8" s="667">
        <f>+E8</f>
        <v>0.25968366969292239</v>
      </c>
      <c r="G8" s="870"/>
      <c r="H8" s="667">
        <f>('F21_O&amp;M_EE (A)'!L31+'F22_O&amp;M_R&amp;M'!F14+'F23_O&amp;M_A&amp;G'!K46)/12</f>
        <v>0.42302630443825923</v>
      </c>
      <c r="I8" s="667">
        <f>('F21_O&amp;M_EE (A)'!M31+'F22_O&amp;M_R&amp;M'!G14+'F23_O&amp;M_A&amp;G'!L46)/12</f>
        <v>0.43960548831320101</v>
      </c>
    </row>
    <row r="9" spans="1:11" ht="28.5">
      <c r="A9" s="6">
        <v>2</v>
      </c>
      <c r="B9" s="880" t="s">
        <v>1414</v>
      </c>
      <c r="C9" s="1495"/>
      <c r="D9" s="870"/>
      <c r="E9" s="667">
        <f>+'F22_O&amp;M_R&amp;M'!D14/12*2</f>
        <v>0</v>
      </c>
      <c r="F9" s="667">
        <f>+E9</f>
        <v>0</v>
      </c>
      <c r="G9" s="870"/>
      <c r="H9" s="667">
        <f>+'F22_O&amp;M_R&amp;M'!F14*40%*2</f>
        <v>1.4770534923139393</v>
      </c>
      <c r="I9" s="667">
        <f>+'F22_O&amp;M_R&amp;M'!G14*40%*2</f>
        <v>1.5418534923139393</v>
      </c>
    </row>
    <row r="10" spans="1:11" ht="42.75">
      <c r="A10" s="6">
        <v>3</v>
      </c>
      <c r="B10" s="880" t="s">
        <v>1408</v>
      </c>
      <c r="C10" s="1495"/>
      <c r="D10" s="870"/>
      <c r="E10" s="667">
        <f>('ESR3_Curr Tariff'!O16/12*1.5)</f>
        <v>3.7377333590982209</v>
      </c>
      <c r="F10" s="667">
        <f>+E10</f>
        <v>3.7377333590982209</v>
      </c>
      <c r="G10" s="870"/>
      <c r="H10" s="667">
        <f>('ESR3_Curr Tariff'!AB16/12*1.5)</f>
        <v>5.2093178201995025</v>
      </c>
      <c r="I10" s="667">
        <f ca="1">(ARR!I44-ARR!I54+ARR!I50)*1.5/12</f>
        <v>10.082140609061808</v>
      </c>
    </row>
    <row r="11" spans="1:11" ht="28.5">
      <c r="A11" s="6">
        <v>4</v>
      </c>
      <c r="B11" s="880" t="s">
        <v>105</v>
      </c>
      <c r="C11" s="1495"/>
      <c r="D11" s="870"/>
      <c r="E11" s="667">
        <f>('F30_CSD monthly'!C5+'F30_CSD monthly'!O8)/2</f>
        <v>1.8134999999999999</v>
      </c>
      <c r="F11" s="667">
        <f>+E11</f>
        <v>1.8134999999999999</v>
      </c>
      <c r="G11" s="870"/>
      <c r="H11" s="667">
        <f>H126</f>
        <v>4.4181589100997511</v>
      </c>
      <c r="I11" s="667">
        <f ca="1">I128</f>
        <v>7.5957292146306559</v>
      </c>
      <c r="K11" s="576" t="s">
        <v>106</v>
      </c>
    </row>
    <row r="12" spans="1:11">
      <c r="A12" s="6">
        <v>5</v>
      </c>
      <c r="B12" s="534" t="s">
        <v>77</v>
      </c>
      <c r="C12" s="1495"/>
      <c r="D12" s="868"/>
      <c r="E12" s="872">
        <f>SUM(E8:E10)-E11</f>
        <v>2.1839170287911434</v>
      </c>
      <c r="F12" s="872">
        <f t="shared" ref="F12:I12" si="0">SUM(F8:F10)-F11</f>
        <v>2.1839170287911434</v>
      </c>
      <c r="G12" s="872">
        <f t="shared" si="0"/>
        <v>0</v>
      </c>
      <c r="H12" s="872">
        <f t="shared" si="0"/>
        <v>2.6912387068519497</v>
      </c>
      <c r="I12" s="872">
        <f t="shared" ca="1" si="0"/>
        <v>4.4678703750582924</v>
      </c>
    </row>
    <row r="13" spans="1:11" ht="28.5">
      <c r="A13" s="6">
        <v>6</v>
      </c>
      <c r="B13" s="534" t="s">
        <v>1608</v>
      </c>
      <c r="C13" s="1495"/>
      <c r="D13" s="868"/>
      <c r="E13" s="872"/>
      <c r="F13" s="868"/>
      <c r="G13" s="868"/>
      <c r="H13" s="868"/>
      <c r="I13" s="868"/>
    </row>
    <row r="14" spans="1:11">
      <c r="A14" s="6">
        <v>7</v>
      </c>
      <c r="B14" s="534" t="s">
        <v>1607</v>
      </c>
      <c r="C14" s="1495"/>
      <c r="D14" s="868"/>
      <c r="E14" s="872">
        <f>+E12-E13</f>
        <v>2.1839170287911434</v>
      </c>
      <c r="F14" s="872">
        <f t="shared" ref="F14:I14" si="1">+F12-F13</f>
        <v>2.1839170287911434</v>
      </c>
      <c r="G14" s="872">
        <f t="shared" si="1"/>
        <v>0</v>
      </c>
      <c r="H14" s="872">
        <f t="shared" si="1"/>
        <v>2.6912387068519497</v>
      </c>
      <c r="I14" s="872">
        <f t="shared" ca="1" si="1"/>
        <v>4.4678703750582924</v>
      </c>
    </row>
    <row r="15" spans="1:11" ht="28.5">
      <c r="A15" s="6">
        <v>8</v>
      </c>
      <c r="B15" s="669" t="s">
        <v>1609</v>
      </c>
      <c r="C15" s="1495"/>
      <c r="D15" s="871"/>
      <c r="E15" s="874">
        <f>+F117</f>
        <v>0.11382191780821915</v>
      </c>
      <c r="F15" s="875">
        <f>+E15</f>
        <v>0.11382191780821915</v>
      </c>
      <c r="G15" s="871"/>
      <c r="H15" s="875">
        <f>+F118</f>
        <v>0.1075</v>
      </c>
      <c r="I15" s="876">
        <f>+H15</f>
        <v>0.1075</v>
      </c>
    </row>
    <row r="16" spans="1:11">
      <c r="A16" s="6">
        <v>9</v>
      </c>
      <c r="B16" s="534" t="s">
        <v>78</v>
      </c>
      <c r="C16" s="1496"/>
      <c r="D16" s="868"/>
      <c r="E16" s="868">
        <f>+E14*E15</f>
        <v>0.24857762455103571</v>
      </c>
      <c r="F16" s="868">
        <f t="shared" ref="F16:I16" si="2">+F14*F15</f>
        <v>0.24857762455103571</v>
      </c>
      <c r="G16" s="868">
        <f t="shared" si="2"/>
        <v>0</v>
      </c>
      <c r="H16" s="868">
        <f t="shared" si="2"/>
        <v>0.28930816098658457</v>
      </c>
      <c r="I16" s="868">
        <f t="shared" ca="1" si="2"/>
        <v>0.48029606531876645</v>
      </c>
    </row>
    <row r="17" spans="1:9">
      <c r="G17" s="2071"/>
      <c r="H17" s="2071"/>
      <c r="I17" s="2071"/>
    </row>
    <row r="18" spans="1:9">
      <c r="A18" s="881" t="s">
        <v>1610</v>
      </c>
      <c r="B18" s="670"/>
      <c r="C18" s="670"/>
      <c r="D18" s="670"/>
      <c r="E18" s="670"/>
      <c r="F18" s="670"/>
      <c r="G18" s="670"/>
      <c r="H18" s="670"/>
      <c r="I18" s="670"/>
    </row>
    <row r="20" spans="1:9">
      <c r="D20" s="153"/>
      <c r="E20" s="153"/>
      <c r="F20" s="153"/>
      <c r="G20" s="153"/>
    </row>
    <row r="21" spans="1:9" ht="23.25">
      <c r="C21" s="873" t="s">
        <v>2098</v>
      </c>
      <c r="D21" s="873" t="s">
        <v>2099</v>
      </c>
      <c r="E21" s="873" t="s">
        <v>2100</v>
      </c>
      <c r="F21" s="873" t="s">
        <v>2101</v>
      </c>
    </row>
    <row r="22" spans="1:9">
      <c r="C22" s="882">
        <v>43556</v>
      </c>
      <c r="D22" s="882">
        <f>+C23-1</f>
        <v>43564</v>
      </c>
      <c r="E22" s="883">
        <v>8.5500000000000007E-2</v>
      </c>
      <c r="F22" s="884">
        <f>+D22-C22+1</f>
        <v>9</v>
      </c>
    </row>
    <row r="23" spans="1:9">
      <c r="C23" s="882">
        <v>43565</v>
      </c>
      <c r="D23" s="882">
        <f t="shared" ref="D23:D33" si="3">+C24-1</f>
        <v>43594</v>
      </c>
      <c r="E23" s="883">
        <v>8.5000000000000006E-2</v>
      </c>
      <c r="F23" s="884">
        <f t="shared" ref="F23:F34" si="4">+D23-C23+1</f>
        <v>30</v>
      </c>
    </row>
    <row r="24" spans="1:9">
      <c r="C24" s="882">
        <v>43595</v>
      </c>
      <c r="D24" s="882">
        <f t="shared" si="3"/>
        <v>43625</v>
      </c>
      <c r="E24" s="883">
        <v>8.4500000000000006E-2</v>
      </c>
      <c r="F24" s="884">
        <f t="shared" si="4"/>
        <v>31</v>
      </c>
    </row>
    <row r="25" spans="1:9">
      <c r="C25" s="882">
        <v>43626</v>
      </c>
      <c r="D25" s="882">
        <f t="shared" si="3"/>
        <v>43655</v>
      </c>
      <c r="E25" s="883">
        <v>8.4500000000000006E-2</v>
      </c>
      <c r="F25" s="884">
        <f t="shared" si="4"/>
        <v>30</v>
      </c>
    </row>
    <row r="26" spans="1:9">
      <c r="C26" s="882">
        <v>43656</v>
      </c>
      <c r="D26" s="882">
        <f t="shared" si="3"/>
        <v>43686</v>
      </c>
      <c r="E26" s="883">
        <v>8.4000000000000005E-2</v>
      </c>
      <c r="F26" s="884">
        <f t="shared" si="4"/>
        <v>31</v>
      </c>
    </row>
    <row r="27" spans="1:9">
      <c r="C27" s="882">
        <v>43687</v>
      </c>
      <c r="D27" s="882">
        <f t="shared" si="3"/>
        <v>43717</v>
      </c>
      <c r="E27" s="883">
        <v>8.2500000000000004E-2</v>
      </c>
      <c r="F27" s="884">
        <f t="shared" si="4"/>
        <v>31</v>
      </c>
    </row>
    <row r="28" spans="1:9">
      <c r="C28" s="882">
        <v>43718</v>
      </c>
      <c r="D28" s="882">
        <f t="shared" si="3"/>
        <v>43747</v>
      </c>
      <c r="E28" s="883">
        <v>8.1500000000000003E-2</v>
      </c>
      <c r="F28" s="884">
        <f t="shared" si="4"/>
        <v>30</v>
      </c>
    </row>
    <row r="29" spans="1:9">
      <c r="C29" s="882">
        <v>43748</v>
      </c>
      <c r="D29" s="882">
        <f t="shared" si="3"/>
        <v>43778</v>
      </c>
      <c r="E29" s="883">
        <v>8.0500000000000002E-2</v>
      </c>
      <c r="F29" s="884">
        <f t="shared" si="4"/>
        <v>31</v>
      </c>
    </row>
    <row r="30" spans="1:9">
      <c r="C30" s="882">
        <v>43779</v>
      </c>
      <c r="D30" s="882">
        <f t="shared" si="3"/>
        <v>43808</v>
      </c>
      <c r="E30" s="883">
        <v>0.08</v>
      </c>
      <c r="F30" s="884">
        <f t="shared" si="4"/>
        <v>30</v>
      </c>
    </row>
    <row r="31" spans="1:9">
      <c r="C31" s="882">
        <v>43809</v>
      </c>
      <c r="D31" s="882">
        <f t="shared" si="3"/>
        <v>43839</v>
      </c>
      <c r="E31" s="883">
        <v>7.9000000000000001E-2</v>
      </c>
      <c r="F31" s="884">
        <f t="shared" si="4"/>
        <v>31</v>
      </c>
    </row>
    <row r="32" spans="1:9">
      <c r="C32" s="882">
        <v>43840</v>
      </c>
      <c r="D32" s="882">
        <f t="shared" si="3"/>
        <v>43870</v>
      </c>
      <c r="E32" s="883">
        <v>7.9000000000000001E-2</v>
      </c>
      <c r="F32" s="884">
        <f t="shared" si="4"/>
        <v>31</v>
      </c>
    </row>
    <row r="33" spans="3:6">
      <c r="C33" s="882">
        <v>43871</v>
      </c>
      <c r="D33" s="882">
        <f t="shared" si="3"/>
        <v>43899</v>
      </c>
      <c r="E33" s="883">
        <v>7.85E-2</v>
      </c>
      <c r="F33" s="884">
        <f t="shared" si="4"/>
        <v>29</v>
      </c>
    </row>
    <row r="34" spans="3:6">
      <c r="C34" s="882">
        <v>43900</v>
      </c>
      <c r="D34" s="882">
        <v>43921</v>
      </c>
      <c r="E34" s="883">
        <v>7.7499999999999999E-2</v>
      </c>
      <c r="F34" s="884">
        <f t="shared" si="4"/>
        <v>22</v>
      </c>
    </row>
    <row r="35" spans="3:6">
      <c r="C35" s="885" t="s">
        <v>18</v>
      </c>
      <c r="D35" s="885"/>
      <c r="E35" s="886">
        <f>+SUMPRODUCT(E22:E34,F22:F34)/F35</f>
        <v>8.1572404371584681E-2</v>
      </c>
      <c r="F35" s="887">
        <f>SUM(F22:F34)</f>
        <v>366</v>
      </c>
    </row>
    <row r="36" spans="3:6">
      <c r="C36" s="888">
        <f>D34+1</f>
        <v>43922</v>
      </c>
      <c r="D36" s="888">
        <f>C37-1</f>
        <v>43930</v>
      </c>
      <c r="E36" s="889">
        <v>7.7499999999999999E-2</v>
      </c>
      <c r="F36" s="890">
        <f t="shared" ref="F36:F48" si="5">+D36-C36+1</f>
        <v>9</v>
      </c>
    </row>
    <row r="37" spans="3:6">
      <c r="C37" s="888">
        <v>43931</v>
      </c>
      <c r="D37" s="888">
        <f t="shared" ref="D37:D47" si="6">C38-1</f>
        <v>43960</v>
      </c>
      <c r="E37" s="889">
        <v>7.3999999999999996E-2</v>
      </c>
      <c r="F37" s="890">
        <f t="shared" si="5"/>
        <v>30</v>
      </c>
    </row>
    <row r="38" spans="3:6">
      <c r="C38" s="888">
        <v>43961</v>
      </c>
      <c r="D38" s="888">
        <f t="shared" si="6"/>
        <v>43991</v>
      </c>
      <c r="E38" s="889">
        <v>7.2499999999999995E-2</v>
      </c>
      <c r="F38" s="890">
        <f t="shared" si="5"/>
        <v>31</v>
      </c>
    </row>
    <row r="39" spans="3:6">
      <c r="C39" s="888">
        <v>43992</v>
      </c>
      <c r="D39" s="888">
        <f t="shared" si="6"/>
        <v>44021</v>
      </c>
      <c r="E39" s="889">
        <v>7.0000000000000007E-2</v>
      </c>
      <c r="F39" s="890">
        <f t="shared" si="5"/>
        <v>30</v>
      </c>
    </row>
    <row r="40" spans="3:6">
      <c r="C40" s="888">
        <v>44022</v>
      </c>
      <c r="D40" s="888">
        <f t="shared" si="6"/>
        <v>44052</v>
      </c>
      <c r="E40" s="889">
        <v>7.0000000000000007E-2</v>
      </c>
      <c r="F40" s="890">
        <f t="shared" si="5"/>
        <v>31</v>
      </c>
    </row>
    <row r="41" spans="3:6">
      <c r="C41" s="888">
        <v>44053</v>
      </c>
      <c r="D41" s="888">
        <f t="shared" si="6"/>
        <v>44083</v>
      </c>
      <c r="E41" s="889">
        <v>7.0000000000000007E-2</v>
      </c>
      <c r="F41" s="890">
        <f t="shared" si="5"/>
        <v>31</v>
      </c>
    </row>
    <row r="42" spans="3:6">
      <c r="C42" s="888">
        <v>44084</v>
      </c>
      <c r="D42" s="888">
        <f t="shared" si="6"/>
        <v>44113</v>
      </c>
      <c r="E42" s="889">
        <v>7.0000000000000007E-2</v>
      </c>
      <c r="F42" s="890">
        <f t="shared" si="5"/>
        <v>30</v>
      </c>
    </row>
    <row r="43" spans="3:6">
      <c r="C43" s="888">
        <v>44114</v>
      </c>
      <c r="D43" s="888">
        <f t="shared" si="6"/>
        <v>44144</v>
      </c>
      <c r="E43" s="889">
        <v>7.0000000000000007E-2</v>
      </c>
      <c r="F43" s="890">
        <f t="shared" si="5"/>
        <v>31</v>
      </c>
    </row>
    <row r="44" spans="3:6">
      <c r="C44" s="888">
        <v>44145</v>
      </c>
      <c r="D44" s="888">
        <f t="shared" si="6"/>
        <v>44174</v>
      </c>
      <c r="E44" s="889">
        <v>7.0000000000000007E-2</v>
      </c>
      <c r="F44" s="890">
        <f t="shared" si="5"/>
        <v>30</v>
      </c>
    </row>
    <row r="45" spans="3:6">
      <c r="C45" s="888">
        <v>44175</v>
      </c>
      <c r="D45" s="888">
        <f t="shared" si="6"/>
        <v>44205</v>
      </c>
      <c r="E45" s="889">
        <v>7.0000000000000007E-2</v>
      </c>
      <c r="F45" s="890">
        <f t="shared" si="5"/>
        <v>31</v>
      </c>
    </row>
    <row r="46" spans="3:6">
      <c r="C46" s="888">
        <v>44206</v>
      </c>
      <c r="D46" s="888">
        <f t="shared" si="6"/>
        <v>44236</v>
      </c>
      <c r="E46" s="889">
        <v>7.0000000000000007E-2</v>
      </c>
      <c r="F46" s="890">
        <f t="shared" si="5"/>
        <v>31</v>
      </c>
    </row>
    <row r="47" spans="3:6">
      <c r="C47" s="888">
        <v>44237</v>
      </c>
      <c r="D47" s="888">
        <f t="shared" si="6"/>
        <v>44264</v>
      </c>
      <c r="E47" s="889">
        <v>7.0000000000000007E-2</v>
      </c>
      <c r="F47" s="890">
        <f t="shared" si="5"/>
        <v>28</v>
      </c>
    </row>
    <row r="48" spans="3:6">
      <c r="C48" s="888">
        <v>44265</v>
      </c>
      <c r="D48" s="888">
        <v>44286</v>
      </c>
      <c r="E48" s="889">
        <v>7.0000000000000007E-2</v>
      </c>
      <c r="F48" s="890">
        <f t="shared" si="5"/>
        <v>22</v>
      </c>
    </row>
    <row r="49" spans="3:6">
      <c r="C49" s="891" t="s">
        <v>18</v>
      </c>
      <c r="D49" s="891"/>
      <c r="E49" s="892">
        <f>+SUMPRODUCT(E36:E48,F36:F48)/F49</f>
        <v>7.0726027397260277E-2</v>
      </c>
      <c r="F49" s="893">
        <f>SUM(F36:F48)</f>
        <v>365</v>
      </c>
    </row>
    <row r="50" spans="3:6">
      <c r="C50" s="888">
        <f>D48+1</f>
        <v>44287</v>
      </c>
      <c r="D50" s="888">
        <f>C51-1</f>
        <v>44295</v>
      </c>
      <c r="E50" s="889">
        <f>E48</f>
        <v>7.0000000000000007E-2</v>
      </c>
      <c r="F50" s="890">
        <f t="shared" ref="F50:F63" si="7">+D50-C50+1</f>
        <v>9</v>
      </c>
    </row>
    <row r="51" spans="3:6">
      <c r="C51" s="888">
        <v>44296</v>
      </c>
      <c r="D51" s="888">
        <f t="shared" ref="D51:D62" si="8">C52-1</f>
        <v>44300</v>
      </c>
      <c r="E51" s="889">
        <v>7.0000000000000007E-2</v>
      </c>
      <c r="F51" s="890">
        <f t="shared" si="7"/>
        <v>5</v>
      </c>
    </row>
    <row r="52" spans="3:6">
      <c r="C52" s="888">
        <v>44301</v>
      </c>
      <c r="D52" s="888">
        <f t="shared" si="8"/>
        <v>44330</v>
      </c>
      <c r="E52" s="889">
        <v>7.0000000000000007E-2</v>
      </c>
      <c r="F52" s="890">
        <f t="shared" si="7"/>
        <v>30</v>
      </c>
    </row>
    <row r="53" spans="3:6">
      <c r="C53" s="888">
        <f>EDATE(C52,1)</f>
        <v>44331</v>
      </c>
      <c r="D53" s="888">
        <f t="shared" si="8"/>
        <v>44361</v>
      </c>
      <c r="E53" s="889">
        <v>7.0000000000000007E-2</v>
      </c>
      <c r="F53" s="890">
        <f t="shared" si="7"/>
        <v>31</v>
      </c>
    </row>
    <row r="54" spans="3:6">
      <c r="C54" s="888">
        <f t="shared" ref="C54:C63" si="9">EDATE(C53,1)</f>
        <v>44362</v>
      </c>
      <c r="D54" s="888">
        <f t="shared" si="8"/>
        <v>44391</v>
      </c>
      <c r="E54" s="889">
        <v>7.0000000000000007E-2</v>
      </c>
      <c r="F54" s="890">
        <f t="shared" si="7"/>
        <v>30</v>
      </c>
    </row>
    <row r="55" spans="3:6">
      <c r="C55" s="888">
        <f t="shared" si="9"/>
        <v>44392</v>
      </c>
      <c r="D55" s="888">
        <f t="shared" si="8"/>
        <v>44422</v>
      </c>
      <c r="E55" s="889">
        <v>7.0000000000000007E-2</v>
      </c>
      <c r="F55" s="890">
        <f t="shared" si="7"/>
        <v>31</v>
      </c>
    </row>
    <row r="56" spans="3:6">
      <c r="C56" s="888">
        <f t="shared" si="9"/>
        <v>44423</v>
      </c>
      <c r="D56" s="888">
        <f t="shared" si="8"/>
        <v>44453</v>
      </c>
      <c r="E56" s="889">
        <v>7.0000000000000007E-2</v>
      </c>
      <c r="F56" s="890">
        <f t="shared" si="7"/>
        <v>31</v>
      </c>
    </row>
    <row r="57" spans="3:6">
      <c r="C57" s="888">
        <f t="shared" si="9"/>
        <v>44454</v>
      </c>
      <c r="D57" s="888">
        <f t="shared" si="8"/>
        <v>44483</v>
      </c>
      <c r="E57" s="889">
        <v>7.0000000000000007E-2</v>
      </c>
      <c r="F57" s="890">
        <f t="shared" si="7"/>
        <v>30</v>
      </c>
    </row>
    <row r="58" spans="3:6">
      <c r="C58" s="888">
        <f t="shared" si="9"/>
        <v>44484</v>
      </c>
      <c r="D58" s="888">
        <f t="shared" si="8"/>
        <v>44514</v>
      </c>
      <c r="E58" s="889">
        <v>7.0000000000000007E-2</v>
      </c>
      <c r="F58" s="890">
        <f t="shared" si="7"/>
        <v>31</v>
      </c>
    </row>
    <row r="59" spans="3:6">
      <c r="C59" s="888">
        <f t="shared" si="9"/>
        <v>44515</v>
      </c>
      <c r="D59" s="888">
        <f t="shared" si="8"/>
        <v>44544</v>
      </c>
      <c r="E59" s="889">
        <v>7.0000000000000007E-2</v>
      </c>
      <c r="F59" s="890">
        <f t="shared" si="7"/>
        <v>30</v>
      </c>
    </row>
    <row r="60" spans="3:6">
      <c r="C60" s="888">
        <f t="shared" si="9"/>
        <v>44545</v>
      </c>
      <c r="D60" s="888">
        <f t="shared" si="8"/>
        <v>44575</v>
      </c>
      <c r="E60" s="889">
        <v>7.0000000000000007E-2</v>
      </c>
      <c r="F60" s="890">
        <f t="shared" si="7"/>
        <v>31</v>
      </c>
    </row>
    <row r="61" spans="3:6">
      <c r="C61" s="888">
        <f t="shared" si="9"/>
        <v>44576</v>
      </c>
      <c r="D61" s="888">
        <f t="shared" si="8"/>
        <v>44606</v>
      </c>
      <c r="E61" s="889">
        <v>7.0000000000000007E-2</v>
      </c>
      <c r="F61" s="890">
        <f t="shared" si="7"/>
        <v>31</v>
      </c>
    </row>
    <row r="62" spans="3:6">
      <c r="C62" s="888">
        <f t="shared" si="9"/>
        <v>44607</v>
      </c>
      <c r="D62" s="888">
        <f t="shared" si="8"/>
        <v>44634</v>
      </c>
      <c r="E62" s="889">
        <v>7.0000000000000007E-2</v>
      </c>
      <c r="F62" s="890">
        <f t="shared" si="7"/>
        <v>28</v>
      </c>
    </row>
    <row r="63" spans="3:6">
      <c r="C63" s="888">
        <f t="shared" si="9"/>
        <v>44635</v>
      </c>
      <c r="D63" s="888">
        <v>44651</v>
      </c>
      <c r="E63" s="889">
        <v>7.0000000000000007E-2</v>
      </c>
      <c r="F63" s="890">
        <f t="shared" si="7"/>
        <v>17</v>
      </c>
    </row>
    <row r="64" spans="3:6">
      <c r="C64" s="891" t="s">
        <v>18</v>
      </c>
      <c r="D64" s="891"/>
      <c r="E64" s="892">
        <f>+SUMPRODUCT(E50:E63,F50:F63)/F64</f>
        <v>7.0000000000000007E-2</v>
      </c>
      <c r="F64" s="893">
        <f>SUM(F50:F63)</f>
        <v>365</v>
      </c>
    </row>
    <row r="65" spans="3:6">
      <c r="C65" s="888">
        <f>D63+1</f>
        <v>44652</v>
      </c>
      <c r="D65" s="888">
        <f>C66-1</f>
        <v>44665</v>
      </c>
      <c r="E65" s="889">
        <f>E63</f>
        <v>7.0000000000000007E-2</v>
      </c>
      <c r="F65" s="890">
        <f t="shared" ref="F65:F77" si="10">+D65-C65+1</f>
        <v>14</v>
      </c>
    </row>
    <row r="66" spans="3:6">
      <c r="C66" s="888">
        <v>44666</v>
      </c>
      <c r="D66" s="888">
        <f t="shared" ref="D66:D76" si="11">C67-1</f>
        <v>44695</v>
      </c>
      <c r="E66" s="889">
        <v>7.0999999999999994E-2</v>
      </c>
      <c r="F66" s="890">
        <f t="shared" si="10"/>
        <v>30</v>
      </c>
    </row>
    <row r="67" spans="3:6">
      <c r="C67" s="888">
        <f>EDATE(C66,1)</f>
        <v>44696</v>
      </c>
      <c r="D67" s="888">
        <f t="shared" si="11"/>
        <v>44726</v>
      </c>
      <c r="E67" s="889">
        <v>7.1999999999999995E-2</v>
      </c>
      <c r="F67" s="890">
        <f t="shared" si="10"/>
        <v>31</v>
      </c>
    </row>
    <row r="68" spans="3:6">
      <c r="C68" s="888">
        <f t="shared" ref="C68:C77" si="12">EDATE(C67,1)</f>
        <v>44727</v>
      </c>
      <c r="D68" s="888">
        <f t="shared" si="11"/>
        <v>44756</v>
      </c>
      <c r="E68" s="889">
        <v>7.3999999999999996E-2</v>
      </c>
      <c r="F68" s="890">
        <f t="shared" si="10"/>
        <v>30</v>
      </c>
    </row>
    <row r="69" spans="3:6">
      <c r="C69" s="888">
        <f t="shared" si="12"/>
        <v>44757</v>
      </c>
      <c r="D69" s="888">
        <f t="shared" si="11"/>
        <v>44787</v>
      </c>
      <c r="E69" s="889">
        <v>7.4999999999999997E-2</v>
      </c>
      <c r="F69" s="890">
        <f t="shared" si="10"/>
        <v>31</v>
      </c>
    </row>
    <row r="70" spans="3:6">
      <c r="C70" s="888">
        <f t="shared" si="12"/>
        <v>44788</v>
      </c>
      <c r="D70" s="888">
        <f t="shared" si="11"/>
        <v>44818</v>
      </c>
      <c r="E70" s="889">
        <v>7.6999999999999999E-2</v>
      </c>
      <c r="F70" s="890">
        <f t="shared" si="10"/>
        <v>31</v>
      </c>
    </row>
    <row r="71" spans="3:6">
      <c r="C71" s="888">
        <f t="shared" si="12"/>
        <v>44819</v>
      </c>
      <c r="D71" s="888">
        <f t="shared" si="11"/>
        <v>44848</v>
      </c>
      <c r="E71" s="889">
        <v>7.6999999999999999E-2</v>
      </c>
      <c r="F71" s="890">
        <f t="shared" si="10"/>
        <v>30</v>
      </c>
    </row>
    <row r="72" spans="3:6">
      <c r="C72" s="888">
        <f t="shared" si="12"/>
        <v>44849</v>
      </c>
      <c r="D72" s="888">
        <f t="shared" si="11"/>
        <v>44879</v>
      </c>
      <c r="E72" s="889">
        <v>7.9500000000000001E-2</v>
      </c>
      <c r="F72" s="890">
        <f t="shared" si="10"/>
        <v>31</v>
      </c>
    </row>
    <row r="73" spans="3:6">
      <c r="C73" s="888">
        <f t="shared" si="12"/>
        <v>44880</v>
      </c>
      <c r="D73" s="888">
        <f t="shared" si="11"/>
        <v>44909</v>
      </c>
      <c r="E73" s="889">
        <v>8.0500000000000002E-2</v>
      </c>
      <c r="F73" s="890">
        <f t="shared" si="10"/>
        <v>30</v>
      </c>
    </row>
    <row r="74" spans="3:6">
      <c r="C74" s="888">
        <f t="shared" si="12"/>
        <v>44910</v>
      </c>
      <c r="D74" s="888">
        <f t="shared" si="11"/>
        <v>44940</v>
      </c>
      <c r="E74" s="889">
        <v>8.3000000000000004E-2</v>
      </c>
      <c r="F74" s="890">
        <f t="shared" si="10"/>
        <v>31</v>
      </c>
    </row>
    <row r="75" spans="3:6">
      <c r="C75" s="888">
        <f t="shared" si="12"/>
        <v>44941</v>
      </c>
      <c r="D75" s="888">
        <f t="shared" si="11"/>
        <v>44971</v>
      </c>
      <c r="E75" s="889">
        <v>8.4000000000000005E-2</v>
      </c>
      <c r="F75" s="890">
        <f t="shared" si="10"/>
        <v>31</v>
      </c>
    </row>
    <row r="76" spans="3:6">
      <c r="C76" s="888">
        <f t="shared" si="12"/>
        <v>44972</v>
      </c>
      <c r="D76" s="888">
        <f t="shared" si="11"/>
        <v>44999</v>
      </c>
      <c r="E76" s="889">
        <v>8.5000000000000006E-2</v>
      </c>
      <c r="F76" s="890">
        <f t="shared" si="10"/>
        <v>28</v>
      </c>
    </row>
    <row r="77" spans="3:6">
      <c r="C77" s="888">
        <f t="shared" si="12"/>
        <v>45000</v>
      </c>
      <c r="D77" s="888">
        <v>45016</v>
      </c>
      <c r="E77" s="889">
        <v>8.5000000000000006E-2</v>
      </c>
      <c r="F77" s="890">
        <f t="shared" si="10"/>
        <v>17</v>
      </c>
    </row>
    <row r="78" spans="3:6">
      <c r="C78" s="891" t="s">
        <v>18</v>
      </c>
      <c r="D78" s="891"/>
      <c r="E78" s="892">
        <f>+SUMPRODUCT(E65:E77,F65:F77)/F78</f>
        <v>7.7987671232876712E-2</v>
      </c>
      <c r="F78" s="893">
        <f>SUM(F65:F77)</f>
        <v>365</v>
      </c>
    </row>
    <row r="79" spans="3:6">
      <c r="C79" s="888">
        <f>D77+1</f>
        <v>45017</v>
      </c>
      <c r="D79" s="888">
        <f>C80-1</f>
        <v>45030</v>
      </c>
      <c r="E79" s="889">
        <f>E77</f>
        <v>8.5000000000000006E-2</v>
      </c>
      <c r="F79" s="890">
        <f t="shared" ref="F79:F91" si="13">+D79-C79+1</f>
        <v>14</v>
      </c>
    </row>
    <row r="80" spans="3:6">
      <c r="C80" s="888">
        <v>45031</v>
      </c>
      <c r="D80" s="888">
        <f t="shared" ref="D80:D90" si="14">C81-1</f>
        <v>45060</v>
      </c>
      <c r="E80" s="889">
        <v>8.5000000000000006E-2</v>
      </c>
      <c r="F80" s="890">
        <f t="shared" si="13"/>
        <v>30</v>
      </c>
    </row>
    <row r="81" spans="3:6">
      <c r="C81" s="888">
        <f>EDATE(C80,1)</f>
        <v>45061</v>
      </c>
      <c r="D81" s="888">
        <f t="shared" si="14"/>
        <v>45091</v>
      </c>
      <c r="E81" s="889">
        <v>8.5000000000000006E-2</v>
      </c>
      <c r="F81" s="890">
        <f t="shared" si="13"/>
        <v>31</v>
      </c>
    </row>
    <row r="82" spans="3:6">
      <c r="C82" s="888">
        <f t="shared" ref="C82:C91" si="15">EDATE(C81,1)</f>
        <v>45092</v>
      </c>
      <c r="D82" s="888">
        <f t="shared" si="14"/>
        <v>45121</v>
      </c>
      <c r="E82" s="889">
        <v>8.5000000000000006E-2</v>
      </c>
      <c r="F82" s="890">
        <f t="shared" si="13"/>
        <v>30</v>
      </c>
    </row>
    <row r="83" spans="3:6">
      <c r="C83" s="888">
        <f t="shared" si="15"/>
        <v>45122</v>
      </c>
      <c r="D83" s="888">
        <f t="shared" si="14"/>
        <v>45152</v>
      </c>
      <c r="E83" s="889">
        <v>8.5500000000000007E-2</v>
      </c>
      <c r="F83" s="890">
        <f t="shared" si="13"/>
        <v>31</v>
      </c>
    </row>
    <row r="84" spans="3:6">
      <c r="C84" s="888">
        <f t="shared" si="15"/>
        <v>45153</v>
      </c>
      <c r="D84" s="888">
        <f t="shared" si="14"/>
        <v>45183</v>
      </c>
      <c r="E84" s="889">
        <v>8.5500000000000007E-2</v>
      </c>
      <c r="F84" s="890">
        <f t="shared" si="13"/>
        <v>31</v>
      </c>
    </row>
    <row r="85" spans="3:6">
      <c r="C85" s="888">
        <f t="shared" si="15"/>
        <v>45184</v>
      </c>
      <c r="D85" s="888">
        <f t="shared" si="14"/>
        <v>45213</v>
      </c>
      <c r="E85" s="889">
        <v>8.5500000000000007E-2</v>
      </c>
      <c r="F85" s="890">
        <f t="shared" si="13"/>
        <v>30</v>
      </c>
    </row>
    <row r="86" spans="3:6">
      <c r="C86" s="888">
        <f t="shared" si="15"/>
        <v>45214</v>
      </c>
      <c r="D86" s="888">
        <f t="shared" si="14"/>
        <v>45244</v>
      </c>
      <c r="E86" s="889">
        <v>8.5500000000000007E-2</v>
      </c>
      <c r="F86" s="890">
        <f t="shared" si="13"/>
        <v>31</v>
      </c>
    </row>
    <row r="87" spans="3:6">
      <c r="C87" s="888">
        <f t="shared" si="15"/>
        <v>45245</v>
      </c>
      <c r="D87" s="888">
        <f t="shared" si="14"/>
        <v>45274</v>
      </c>
      <c r="E87" s="889">
        <v>8.5500000000000007E-2</v>
      </c>
      <c r="F87" s="890">
        <f t="shared" si="13"/>
        <v>30</v>
      </c>
    </row>
    <row r="88" spans="3:6">
      <c r="C88" s="888">
        <f t="shared" si="15"/>
        <v>45275</v>
      </c>
      <c r="D88" s="888">
        <f t="shared" si="14"/>
        <v>45305</v>
      </c>
      <c r="E88" s="889">
        <v>8.6499999999999994E-2</v>
      </c>
      <c r="F88" s="890">
        <f t="shared" si="13"/>
        <v>31</v>
      </c>
    </row>
    <row r="89" spans="3:6">
      <c r="C89" s="888">
        <f t="shared" si="15"/>
        <v>45306</v>
      </c>
      <c r="D89" s="888">
        <f t="shared" si="14"/>
        <v>45336</v>
      </c>
      <c r="E89" s="889">
        <v>8.6499999999999994E-2</v>
      </c>
      <c r="F89" s="890">
        <f t="shared" si="13"/>
        <v>31</v>
      </c>
    </row>
    <row r="90" spans="3:6">
      <c r="C90" s="888">
        <f t="shared" si="15"/>
        <v>45337</v>
      </c>
      <c r="D90" s="888">
        <f t="shared" si="14"/>
        <v>45365</v>
      </c>
      <c r="E90" s="889">
        <v>8.6499999999999994E-2</v>
      </c>
      <c r="F90" s="890">
        <f t="shared" si="13"/>
        <v>29</v>
      </c>
    </row>
    <row r="91" spans="3:6">
      <c r="C91" s="888">
        <f t="shared" si="15"/>
        <v>45366</v>
      </c>
      <c r="D91" s="888">
        <v>45382</v>
      </c>
      <c r="E91" s="889">
        <v>8.6499999999999994E-2</v>
      </c>
      <c r="F91" s="890">
        <f t="shared" si="13"/>
        <v>17</v>
      </c>
    </row>
    <row r="92" spans="3:6">
      <c r="C92" s="891" t="s">
        <v>18</v>
      </c>
      <c r="D92" s="891"/>
      <c r="E92" s="892">
        <f>+SUMPRODUCT(E79:E91,F79:F91)/F92</f>
        <v>8.5651639344262315E-2</v>
      </c>
      <c r="F92" s="893">
        <f>SUM(F79:F91)</f>
        <v>366</v>
      </c>
    </row>
    <row r="93" spans="3:6">
      <c r="C93" s="888">
        <f>+D91+1</f>
        <v>45383</v>
      </c>
      <c r="D93" s="888">
        <f t="shared" ref="D93:D103" si="16">C94-1</f>
        <v>45396</v>
      </c>
      <c r="E93" s="889">
        <v>8.6499999999999994E-2</v>
      </c>
      <c r="F93" s="890">
        <f t="shared" ref="F93:F114" si="17">+D93-C93+1</f>
        <v>14</v>
      </c>
    </row>
    <row r="94" spans="3:6">
      <c r="C94" s="888">
        <v>45397</v>
      </c>
      <c r="D94" s="888">
        <f t="shared" si="16"/>
        <v>45426</v>
      </c>
      <c r="E94" s="889">
        <v>8.6499999999999994E-2</v>
      </c>
      <c r="F94" s="890">
        <f t="shared" si="17"/>
        <v>30</v>
      </c>
    </row>
    <row r="95" spans="3:6">
      <c r="C95" s="888">
        <f t="shared" ref="C95:C104" si="18">EDATE(C94,1)</f>
        <v>45427</v>
      </c>
      <c r="D95" s="888">
        <f t="shared" si="16"/>
        <v>45457</v>
      </c>
      <c r="E95" s="889">
        <v>8.6499999999999994E-2</v>
      </c>
      <c r="F95" s="890">
        <f t="shared" si="17"/>
        <v>31</v>
      </c>
    </row>
    <row r="96" spans="3:6">
      <c r="C96" s="888">
        <f t="shared" si="18"/>
        <v>45458</v>
      </c>
      <c r="D96" s="888">
        <f t="shared" si="16"/>
        <v>45487</v>
      </c>
      <c r="E96" s="889">
        <v>8.7499999999999994E-2</v>
      </c>
      <c r="F96" s="890">
        <f t="shared" si="17"/>
        <v>30</v>
      </c>
    </row>
    <row r="97" spans="3:6">
      <c r="C97" s="888">
        <f t="shared" si="18"/>
        <v>45488</v>
      </c>
      <c r="D97" s="888">
        <f t="shared" si="16"/>
        <v>45518</v>
      </c>
      <c r="E97" s="889">
        <v>8.8499999999999995E-2</v>
      </c>
      <c r="F97" s="890">
        <f t="shared" si="17"/>
        <v>31</v>
      </c>
    </row>
    <row r="98" spans="3:6">
      <c r="C98" s="888">
        <f t="shared" si="18"/>
        <v>45519</v>
      </c>
      <c r="D98" s="888">
        <f t="shared" si="16"/>
        <v>45549</v>
      </c>
      <c r="E98" s="889">
        <v>8.9499999999999996E-2</v>
      </c>
      <c r="F98" s="890">
        <f t="shared" si="17"/>
        <v>31</v>
      </c>
    </row>
    <row r="99" spans="3:6">
      <c r="C99" s="888">
        <f t="shared" si="18"/>
        <v>45550</v>
      </c>
      <c r="D99" s="888">
        <f t="shared" si="16"/>
        <v>45579</v>
      </c>
      <c r="E99" s="889">
        <v>8.9499999999999996E-2</v>
      </c>
      <c r="F99" s="890">
        <f t="shared" si="17"/>
        <v>30</v>
      </c>
    </row>
    <row r="100" spans="3:6">
      <c r="C100" s="888">
        <f t="shared" si="18"/>
        <v>45580</v>
      </c>
      <c r="D100" s="888">
        <f t="shared" si="16"/>
        <v>45610</v>
      </c>
      <c r="E100" s="889">
        <v>8.9499999999999996E-2</v>
      </c>
      <c r="F100" s="890">
        <f t="shared" si="17"/>
        <v>31</v>
      </c>
    </row>
    <row r="101" spans="3:6">
      <c r="C101" s="888">
        <f t="shared" si="18"/>
        <v>45611</v>
      </c>
      <c r="D101" s="888">
        <f t="shared" si="16"/>
        <v>45640</v>
      </c>
      <c r="E101" s="889">
        <v>0.09</v>
      </c>
      <c r="F101" s="890">
        <f t="shared" si="17"/>
        <v>30</v>
      </c>
    </row>
    <row r="102" spans="3:6">
      <c r="C102" s="888">
        <f t="shared" si="18"/>
        <v>45641</v>
      </c>
      <c r="D102" s="888">
        <f t="shared" si="16"/>
        <v>45671</v>
      </c>
      <c r="E102" s="889">
        <v>0.09</v>
      </c>
      <c r="F102" s="890">
        <f t="shared" si="17"/>
        <v>31</v>
      </c>
    </row>
    <row r="103" spans="3:6">
      <c r="C103" s="888">
        <f t="shared" si="18"/>
        <v>45672</v>
      </c>
      <c r="D103" s="888">
        <f t="shared" si="16"/>
        <v>45702</v>
      </c>
      <c r="E103" s="889">
        <v>0.09</v>
      </c>
      <c r="F103" s="890">
        <f t="shared" si="17"/>
        <v>31</v>
      </c>
    </row>
    <row r="104" spans="3:6">
      <c r="C104" s="888">
        <f t="shared" si="18"/>
        <v>45703</v>
      </c>
      <c r="D104" s="888">
        <v>45747</v>
      </c>
      <c r="E104" s="889">
        <v>0.09</v>
      </c>
      <c r="F104" s="890">
        <f t="shared" si="17"/>
        <v>45</v>
      </c>
    </row>
    <row r="105" spans="3:6">
      <c r="C105" s="891" t="s">
        <v>18</v>
      </c>
      <c r="D105" s="891"/>
      <c r="E105" s="892">
        <f>+SUMPRODUCT(E93:E104,F93:F104)/F105</f>
        <v>8.8821917808219158E-2</v>
      </c>
      <c r="F105" s="893">
        <f>SUM(F93:F104)</f>
        <v>365</v>
      </c>
    </row>
    <row r="106" spans="3:6">
      <c r="C106" s="894">
        <f>+D104+1</f>
        <v>45748</v>
      </c>
      <c r="D106" s="895">
        <v>45761</v>
      </c>
      <c r="E106" s="889">
        <v>0.09</v>
      </c>
      <c r="F106" s="890">
        <f t="shared" si="17"/>
        <v>14</v>
      </c>
    </row>
    <row r="107" spans="3:6">
      <c r="C107" s="895">
        <f>+D106+1</f>
        <v>45762</v>
      </c>
      <c r="D107" s="895">
        <f>EDATE(C107,1)-1</f>
        <v>45791</v>
      </c>
      <c r="E107" s="889">
        <v>0.09</v>
      </c>
      <c r="F107" s="890">
        <f t="shared" si="17"/>
        <v>30</v>
      </c>
    </row>
    <row r="108" spans="3:6">
      <c r="C108" s="895">
        <f t="shared" ref="C108:C114" si="19">+D107+1</f>
        <v>45792</v>
      </c>
      <c r="D108" s="895">
        <f t="shared" ref="D108:D114" si="20">EDATE(C108,1)-1</f>
        <v>45822</v>
      </c>
      <c r="E108" s="889">
        <v>0.09</v>
      </c>
      <c r="F108" s="890">
        <f t="shared" si="17"/>
        <v>31</v>
      </c>
    </row>
    <row r="109" spans="3:6">
      <c r="C109" s="895">
        <f t="shared" si="19"/>
        <v>45823</v>
      </c>
      <c r="D109" s="895">
        <f t="shared" si="20"/>
        <v>45852</v>
      </c>
      <c r="E109" s="889">
        <v>0.09</v>
      </c>
      <c r="F109" s="890">
        <f t="shared" si="17"/>
        <v>30</v>
      </c>
    </row>
    <row r="110" spans="3:6">
      <c r="C110" s="895">
        <f t="shared" si="19"/>
        <v>45853</v>
      </c>
      <c r="D110" s="895">
        <f t="shared" si="20"/>
        <v>45883</v>
      </c>
      <c r="E110" s="896">
        <v>8.7999999999999995E-2</v>
      </c>
      <c r="F110" s="890">
        <f t="shared" si="17"/>
        <v>31</v>
      </c>
    </row>
    <row r="111" spans="3:6">
      <c r="C111" s="895">
        <f t="shared" si="19"/>
        <v>45884</v>
      </c>
      <c r="D111" s="895">
        <f t="shared" si="20"/>
        <v>45914</v>
      </c>
      <c r="E111" s="896">
        <v>8.7499999999999994E-2</v>
      </c>
      <c r="F111" s="890">
        <f t="shared" si="17"/>
        <v>31</v>
      </c>
    </row>
    <row r="112" spans="3:6">
      <c r="C112" s="895">
        <f t="shared" si="19"/>
        <v>45915</v>
      </c>
      <c r="D112" s="895">
        <f t="shared" si="20"/>
        <v>45944</v>
      </c>
      <c r="E112" s="896">
        <v>8.7499999999999994E-2</v>
      </c>
      <c r="F112" s="890">
        <f t="shared" si="17"/>
        <v>30</v>
      </c>
    </row>
    <row r="113" spans="2:9">
      <c r="C113" s="895">
        <f t="shared" si="19"/>
        <v>45945</v>
      </c>
      <c r="D113" s="895">
        <f t="shared" si="20"/>
        <v>45975</v>
      </c>
      <c r="E113" s="896">
        <v>8.7499999999999994E-2</v>
      </c>
      <c r="F113" s="890">
        <f t="shared" si="17"/>
        <v>31</v>
      </c>
    </row>
    <row r="114" spans="2:9">
      <c r="C114" s="895">
        <f t="shared" si="19"/>
        <v>45976</v>
      </c>
      <c r="D114" s="895">
        <f t="shared" si="20"/>
        <v>46005</v>
      </c>
      <c r="E114" s="897">
        <v>8.7499999999999994E-2</v>
      </c>
      <c r="F114" s="890">
        <f t="shared" si="17"/>
        <v>30</v>
      </c>
    </row>
    <row r="115" spans="2:9">
      <c r="C115" s="898"/>
      <c r="D115" s="898"/>
      <c r="E115" s="892">
        <f>+SUMPRODUCT(E106:E114,F106:F114)/F115</f>
        <v>8.8577519379844954E-2</v>
      </c>
      <c r="F115" s="893">
        <f>SUM(F106:F114)</f>
        <v>258</v>
      </c>
    </row>
    <row r="116" spans="2:9">
      <c r="C116" s="2072" t="s">
        <v>2102</v>
      </c>
      <c r="D116" s="2073"/>
      <c r="E116" s="2074"/>
      <c r="F116" s="877">
        <f>+E28+2.5%</f>
        <v>0.10650000000000001</v>
      </c>
    </row>
    <row r="117" spans="2:9">
      <c r="C117" s="2072" t="s">
        <v>2103</v>
      </c>
      <c r="D117" s="2073"/>
      <c r="E117" s="2074"/>
      <c r="F117" s="877">
        <f>+E105+2.5%</f>
        <v>0.11382191780821915</v>
      </c>
    </row>
    <row r="118" spans="2:9">
      <c r="C118" s="2072" t="s">
        <v>2104</v>
      </c>
      <c r="D118" s="2073"/>
      <c r="E118" s="2074"/>
      <c r="F118" s="877">
        <f>+E114+2%</f>
        <v>0.1075</v>
      </c>
    </row>
    <row r="120" spans="2:9">
      <c r="D120" s="1570" t="s">
        <v>343</v>
      </c>
      <c r="E120" s="1586"/>
      <c r="F120" s="1571"/>
      <c r="G120" s="1570" t="s">
        <v>1442</v>
      </c>
      <c r="H120" s="1571"/>
      <c r="I120" s="146" t="s">
        <v>2024</v>
      </c>
    </row>
    <row r="121" spans="2:9" ht="28.5">
      <c r="B121" s="151" t="s">
        <v>550</v>
      </c>
      <c r="C121" s="151" t="s">
        <v>2111</v>
      </c>
      <c r="D121" s="151" t="s">
        <v>337</v>
      </c>
      <c r="E121" s="152" t="s">
        <v>182</v>
      </c>
      <c r="F121" s="152" t="s">
        <v>338</v>
      </c>
      <c r="G121" s="151" t="s">
        <v>337</v>
      </c>
      <c r="H121" s="151" t="s">
        <v>1415</v>
      </c>
      <c r="I121" s="152" t="s">
        <v>183</v>
      </c>
    </row>
    <row r="122" spans="2:9">
      <c r="B122" s="996" t="s">
        <v>2186</v>
      </c>
      <c r="C122" s="997"/>
      <c r="D122" s="112"/>
      <c r="E122" s="997"/>
      <c r="F122" s="112"/>
      <c r="G122" s="112"/>
      <c r="H122" s="112"/>
      <c r="I122" s="112"/>
    </row>
    <row r="123" spans="2:9">
      <c r="B123" s="998" t="s">
        <v>2187</v>
      </c>
      <c r="C123" s="997" t="s">
        <v>32</v>
      </c>
      <c r="D123" s="112"/>
      <c r="E123" s="997">
        <v>0</v>
      </c>
      <c r="F123" s="112"/>
      <c r="G123" s="112"/>
      <c r="H123" s="968">
        <f>+E125</f>
        <v>3.6269999999999998</v>
      </c>
      <c r="I123" s="969">
        <f>+H125</f>
        <v>5.2093178201995025</v>
      </c>
    </row>
    <row r="124" spans="2:9">
      <c r="B124" s="998" t="s">
        <v>2188</v>
      </c>
      <c r="C124" s="997" t="s">
        <v>33</v>
      </c>
      <c r="D124" s="112"/>
      <c r="E124" s="999">
        <f>+'F30_CSD monthly'!H24</f>
        <v>3.6269999999999998</v>
      </c>
      <c r="F124" s="112"/>
      <c r="G124" s="112"/>
      <c r="H124" s="968">
        <f>+'ESR3_Curr Tariff'!AB16/12*1.5-H123</f>
        <v>1.5823178201995027</v>
      </c>
      <c r="I124" s="968">
        <f ca="1">(ARR!I44-ARR!I54+ARR!I50)*1.5/12-I123</f>
        <v>4.8728227888623055</v>
      </c>
    </row>
    <row r="125" spans="2:9">
      <c r="B125" s="998" t="s">
        <v>2189</v>
      </c>
      <c r="C125" s="997" t="s">
        <v>2192</v>
      </c>
      <c r="D125" s="112"/>
      <c r="E125" s="999">
        <f>+E123+E124</f>
        <v>3.6269999999999998</v>
      </c>
      <c r="F125" s="112"/>
      <c r="G125" s="112"/>
      <c r="H125" s="999">
        <f>+H123+H124</f>
        <v>5.2093178201995025</v>
      </c>
      <c r="I125" s="999">
        <f ca="1">+I123+I124</f>
        <v>10.082140609061808</v>
      </c>
    </row>
    <row r="126" spans="2:9">
      <c r="B126" s="998" t="s">
        <v>2190</v>
      </c>
      <c r="C126" s="997" t="s">
        <v>2193</v>
      </c>
      <c r="D126" s="112"/>
      <c r="E126" s="1000">
        <f>AVERAGE(E125,E123)</f>
        <v>1.8134999999999999</v>
      </c>
      <c r="F126" s="112"/>
      <c r="G126" s="112"/>
      <c r="H126" s="1000">
        <f>AVERAGE(H125,H123)</f>
        <v>4.4181589100997511</v>
      </c>
      <c r="I126" s="1000">
        <f ca="1">AVERAGE(I125,I123)</f>
        <v>7.6457292146306557</v>
      </c>
    </row>
    <row r="127" spans="2:9">
      <c r="B127" s="998" t="s">
        <v>2195</v>
      </c>
      <c r="C127" s="997" t="s">
        <v>41</v>
      </c>
      <c r="D127" s="112"/>
      <c r="E127" s="997">
        <v>0.03</v>
      </c>
      <c r="F127" s="112"/>
      <c r="G127" s="112"/>
      <c r="H127" s="997">
        <v>0.05</v>
      </c>
      <c r="I127" s="997">
        <v>0.05</v>
      </c>
    </row>
    <row r="128" spans="2:9">
      <c r="B128" s="998" t="s">
        <v>2191</v>
      </c>
      <c r="C128" s="997" t="s">
        <v>2194</v>
      </c>
      <c r="D128" s="112"/>
      <c r="E128" s="1000">
        <f>+E126-E127</f>
        <v>1.7834999999999999</v>
      </c>
      <c r="F128" s="112"/>
      <c r="G128" s="112"/>
      <c r="H128" s="1000">
        <f>+H126-H127</f>
        <v>4.3681589100997513</v>
      </c>
      <c r="I128" s="1000">
        <f ca="1">+I126-I127</f>
        <v>7.5957292146306559</v>
      </c>
    </row>
  </sheetData>
  <mergeCells count="19">
    <mergeCell ref="A1:B1"/>
    <mergeCell ref="G5:H5"/>
    <mergeCell ref="G6:H6"/>
    <mergeCell ref="A2:F2"/>
    <mergeCell ref="D5:F5"/>
    <mergeCell ref="A5:A7"/>
    <mergeCell ref="B5:B7"/>
    <mergeCell ref="E3:F3"/>
    <mergeCell ref="E4:F4"/>
    <mergeCell ref="D6:F6"/>
    <mergeCell ref="H3:I3"/>
    <mergeCell ref="H4:I4"/>
    <mergeCell ref="C8:C16"/>
    <mergeCell ref="D120:F120"/>
    <mergeCell ref="G120:H120"/>
    <mergeCell ref="G17:I17"/>
    <mergeCell ref="C116:E116"/>
    <mergeCell ref="C117:E117"/>
    <mergeCell ref="C118:E118"/>
  </mergeCells>
  <printOptions horizontalCentered="1"/>
  <pageMargins left="0.70866141732283472" right="0.70866141732283472" top="0.74803149606299213" bottom="0.74803149606299213" header="0.31496062992125984" footer="0.31496062992125984"/>
  <pageSetup paperSize="5" scale="95" fitToHeight="3"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FFFF"/>
    <pageSetUpPr fitToPage="1"/>
  </sheetPr>
  <dimension ref="A1:I28"/>
  <sheetViews>
    <sheetView showGridLines="0" view="pageBreakPreview" zoomScale="70" zoomScaleNormal="80" zoomScaleSheetLayoutView="70" workbookViewId="0">
      <selection activeCell="B21" sqref="B21"/>
    </sheetView>
  </sheetViews>
  <sheetFormatPr defaultColWidth="9.19921875" defaultRowHeight="15.75"/>
  <cols>
    <col min="1" max="1" width="5.19921875" style="1072" bestFit="1" customWidth="1"/>
    <col min="2" max="2" width="32.53125" style="1072" customWidth="1"/>
    <col min="3" max="8" width="15" style="1072" customWidth="1"/>
    <col min="9" max="16384" width="9.19921875" style="1072"/>
  </cols>
  <sheetData>
    <row r="1" spans="1:9">
      <c r="A1" s="2080" t="s">
        <v>1826</v>
      </c>
      <c r="B1" s="2080"/>
    </row>
    <row r="2" spans="1:9">
      <c r="A2" s="2082" t="str">
        <f>+'BS1'!A2</f>
        <v>NIDP DEVELOPERS PRIVATE LIMITED</v>
      </c>
      <c r="B2" s="2082"/>
      <c r="C2" s="2082"/>
      <c r="D2" s="2082"/>
      <c r="E2" s="2082"/>
      <c r="F2" s="1076"/>
    </row>
    <row r="3" spans="1:9">
      <c r="A3" s="1238" t="s">
        <v>6</v>
      </c>
      <c r="B3" s="1238"/>
      <c r="C3" s="1238"/>
      <c r="D3" s="2083"/>
      <c r="E3" s="2083"/>
      <c r="F3" s="1239"/>
      <c r="G3" s="1239"/>
      <c r="H3" s="1239"/>
    </row>
    <row r="4" spans="1:9">
      <c r="A4" s="1240"/>
      <c r="B4" s="1240"/>
      <c r="C4" s="1240"/>
      <c r="D4" s="2085"/>
      <c r="E4" s="2085"/>
      <c r="F4" s="1241"/>
      <c r="G4" s="1241"/>
      <c r="H4" s="1242" t="s">
        <v>93</v>
      </c>
    </row>
    <row r="5" spans="1:9">
      <c r="A5" s="2005" t="s">
        <v>8</v>
      </c>
      <c r="B5" s="2006" t="s">
        <v>10</v>
      </c>
      <c r="C5" s="2084" t="s">
        <v>336</v>
      </c>
      <c r="D5" s="2084"/>
      <c r="E5" s="2084"/>
      <c r="F5" s="1880" t="s">
        <v>344</v>
      </c>
      <c r="G5" s="1882"/>
      <c r="H5" s="1243" t="s">
        <v>739</v>
      </c>
    </row>
    <row r="6" spans="1:9">
      <c r="A6" s="2005"/>
      <c r="B6" s="2006"/>
      <c r="C6" s="2078" t="s">
        <v>343</v>
      </c>
      <c r="D6" s="2081"/>
      <c r="E6" s="2079"/>
      <c r="F6" s="2078" t="s">
        <v>1442</v>
      </c>
      <c r="G6" s="2079"/>
      <c r="H6" s="1205" t="s">
        <v>2024</v>
      </c>
    </row>
    <row r="7" spans="1:9" ht="31.5">
      <c r="A7" s="2005"/>
      <c r="B7" s="2006"/>
      <c r="C7" s="1207" t="s">
        <v>337</v>
      </c>
      <c r="D7" s="1206" t="s">
        <v>182</v>
      </c>
      <c r="E7" s="1206" t="s">
        <v>338</v>
      </c>
      <c r="F7" s="1207" t="s">
        <v>337</v>
      </c>
      <c r="G7" s="1207" t="s">
        <v>346</v>
      </c>
      <c r="H7" s="1206" t="s">
        <v>183</v>
      </c>
    </row>
    <row r="8" spans="1:9" s="1198" customFormat="1" ht="31.5">
      <c r="A8" s="1244">
        <v>1</v>
      </c>
      <c r="B8" s="1245" t="s">
        <v>686</v>
      </c>
      <c r="C8" s="1116"/>
      <c r="D8" s="1246"/>
      <c r="E8" s="1247"/>
      <c r="F8" s="1116"/>
      <c r="G8" s="1116"/>
      <c r="H8" s="1116"/>
    </row>
    <row r="9" spans="1:9" s="1198" customFormat="1">
      <c r="A9" s="1244">
        <v>2</v>
      </c>
      <c r="B9" s="1245" t="s">
        <v>687</v>
      </c>
      <c r="C9" s="1248"/>
      <c r="D9" s="1248"/>
      <c r="E9" s="1247"/>
      <c r="F9" s="1249"/>
      <c r="G9" s="1248"/>
      <c r="H9" s="1248"/>
    </row>
    <row r="10" spans="1:9" s="1198" customFormat="1">
      <c r="A10" s="1244">
        <v>3</v>
      </c>
      <c r="B10" s="1245" t="s">
        <v>688</v>
      </c>
      <c r="C10" s="1248"/>
      <c r="D10" s="1248"/>
      <c r="E10" s="1247"/>
      <c r="F10" s="1249"/>
      <c r="G10" s="1250">
        <f>+[3]APR!$E$160</f>
        <v>3.4000000000000002E-3</v>
      </c>
      <c r="H10" s="1251">
        <f>+'[3]ARR 26-27'!$D$139</f>
        <v>3.4000000000000002E-3</v>
      </c>
      <c r="I10" s="1252"/>
    </row>
    <row r="11" spans="1:9" s="1198" customFormat="1" ht="31.5">
      <c r="A11" s="1244">
        <v>4</v>
      </c>
      <c r="B11" s="1245" t="s">
        <v>2105</v>
      </c>
      <c r="C11" s="1116"/>
      <c r="D11" s="1116"/>
      <c r="E11" s="1247"/>
      <c r="F11" s="1116"/>
      <c r="G11" s="1116"/>
      <c r="H11" s="1248"/>
    </row>
    <row r="12" spans="1:9" s="1198" customFormat="1" ht="31.5">
      <c r="A12" s="1244">
        <v>5</v>
      </c>
      <c r="B12" s="1253" t="s">
        <v>2244</v>
      </c>
      <c r="C12" s="1116"/>
      <c r="D12" s="1254"/>
      <c r="E12" s="1247">
        <f t="shared" ref="E12:E24" si="0">+D12</f>
        <v>0</v>
      </c>
      <c r="F12" s="1116"/>
      <c r="G12" s="1254"/>
      <c r="H12" s="1248"/>
    </row>
    <row r="13" spans="1:9" s="1198" customFormat="1" ht="31.5">
      <c r="A13" s="1244">
        <v>6</v>
      </c>
      <c r="B13" s="1245" t="s">
        <v>689</v>
      </c>
      <c r="C13" s="1248"/>
      <c r="D13" s="1248"/>
      <c r="E13" s="1247">
        <f t="shared" si="0"/>
        <v>0</v>
      </c>
      <c r="F13" s="1116"/>
      <c r="G13" s="1248"/>
      <c r="H13" s="1248"/>
    </row>
    <row r="14" spans="1:9" s="1198" customFormat="1" ht="31.5">
      <c r="A14" s="1244">
        <v>7</v>
      </c>
      <c r="B14" s="1245" t="s">
        <v>690</v>
      </c>
      <c r="C14" s="1116"/>
      <c r="D14" s="1254"/>
      <c r="E14" s="1247">
        <f t="shared" si="0"/>
        <v>0</v>
      </c>
      <c r="F14" s="1116"/>
      <c r="G14" s="1254"/>
      <c r="H14" s="1248"/>
    </row>
    <row r="15" spans="1:9" s="1198" customFormat="1" ht="31.5">
      <c r="A15" s="1244">
        <v>8</v>
      </c>
      <c r="B15" s="1245" t="s">
        <v>2106</v>
      </c>
      <c r="C15" s="1248"/>
      <c r="D15" s="1248"/>
      <c r="E15" s="1247">
        <f t="shared" si="0"/>
        <v>0</v>
      </c>
      <c r="F15" s="1249"/>
      <c r="G15" s="1248"/>
      <c r="H15" s="1248"/>
    </row>
    <row r="16" spans="1:9" s="1198" customFormat="1" ht="47.25">
      <c r="A16" s="1244">
        <v>9</v>
      </c>
      <c r="B16" s="1245" t="s">
        <v>2107</v>
      </c>
      <c r="C16" s="1116"/>
      <c r="D16" s="1254">
        <f>+'[3]True-up'!$F$25</f>
        <v>0.17757678993670317</v>
      </c>
      <c r="E16" s="1247">
        <f t="shared" si="0"/>
        <v>0.17757678993670317</v>
      </c>
      <c r="F16" s="1116"/>
      <c r="G16" s="1254">
        <f>+D16</f>
        <v>0.17757678993670317</v>
      </c>
      <c r="H16" s="1248">
        <f>+G16</f>
        <v>0.17757678993670317</v>
      </c>
    </row>
    <row r="17" spans="1:8" s="1198" customFormat="1" ht="31.5">
      <c r="A17" s="1244">
        <f>+A16+1</f>
        <v>10</v>
      </c>
      <c r="B17" s="1245" t="s">
        <v>692</v>
      </c>
      <c r="C17" s="1248"/>
      <c r="D17" s="1254"/>
      <c r="E17" s="1247">
        <f t="shared" si="0"/>
        <v>0</v>
      </c>
      <c r="F17" s="1249"/>
      <c r="G17" s="1254"/>
      <c r="H17" s="1248"/>
    </row>
    <row r="18" spans="1:8" s="1198" customFormat="1" ht="31.5">
      <c r="A18" s="1244">
        <f t="shared" ref="A18:A23" si="1">+A17+1</f>
        <v>11</v>
      </c>
      <c r="B18" s="1245" t="s">
        <v>693</v>
      </c>
      <c r="C18" s="1209"/>
      <c r="D18" s="1255"/>
      <c r="E18" s="1247">
        <f t="shared" si="0"/>
        <v>0</v>
      </c>
      <c r="F18" s="1256"/>
      <c r="G18" s="1255"/>
      <c r="H18" s="1248"/>
    </row>
    <row r="19" spans="1:8" s="1198" customFormat="1">
      <c r="A19" s="1244">
        <f t="shared" si="1"/>
        <v>12</v>
      </c>
      <c r="B19" s="1253" t="s">
        <v>2245</v>
      </c>
      <c r="C19" s="1248"/>
      <c r="D19" s="1248"/>
      <c r="E19" s="1247">
        <f t="shared" si="0"/>
        <v>0</v>
      </c>
      <c r="F19" s="1249"/>
      <c r="G19" s="1248"/>
      <c r="H19" s="1248"/>
    </row>
    <row r="20" spans="1:8" s="1198" customFormat="1" ht="31.5">
      <c r="A20" s="1244">
        <f t="shared" si="1"/>
        <v>13</v>
      </c>
      <c r="B20" s="1245" t="s">
        <v>694</v>
      </c>
      <c r="C20" s="1248"/>
      <c r="D20" s="1248"/>
      <c r="E20" s="1247">
        <f t="shared" si="0"/>
        <v>0</v>
      </c>
      <c r="F20" s="1249"/>
      <c r="G20" s="1248"/>
      <c r="H20" s="1248"/>
    </row>
    <row r="21" spans="1:8" s="1198" customFormat="1" ht="31.5">
      <c r="A21" s="1244">
        <f t="shared" si="1"/>
        <v>14</v>
      </c>
      <c r="B21" s="1245" t="s">
        <v>695</v>
      </c>
      <c r="C21" s="1251"/>
      <c r="D21" s="1251"/>
      <c r="E21" s="1247">
        <f t="shared" si="0"/>
        <v>0</v>
      </c>
      <c r="F21" s="1257"/>
      <c r="G21" s="1251"/>
      <c r="H21" s="1248"/>
    </row>
    <row r="22" spans="1:8" s="1198" customFormat="1">
      <c r="A22" s="1244">
        <f t="shared" si="1"/>
        <v>15</v>
      </c>
      <c r="B22" s="1245" t="s">
        <v>696</v>
      </c>
      <c r="C22" s="1209"/>
      <c r="D22" s="1209"/>
      <c r="E22" s="1247">
        <f t="shared" si="0"/>
        <v>0</v>
      </c>
      <c r="F22" s="1256"/>
      <c r="G22" s="1209"/>
      <c r="H22" s="1248"/>
    </row>
    <row r="23" spans="1:8" s="1198" customFormat="1">
      <c r="A23" s="1244">
        <f t="shared" si="1"/>
        <v>16</v>
      </c>
      <c r="B23" s="1245" t="s">
        <v>697</v>
      </c>
      <c r="C23" s="1209"/>
      <c r="D23" s="1258">
        <f>+'[3]True-up'!F26+'[3]True-up'!F27</f>
        <v>6.2177999999999997E-2</v>
      </c>
      <c r="E23" s="1247">
        <f t="shared" si="0"/>
        <v>6.2177999999999997E-2</v>
      </c>
      <c r="F23" s="1256"/>
      <c r="G23" s="1254">
        <f>+D23</f>
        <v>6.2177999999999997E-2</v>
      </c>
      <c r="H23" s="1248">
        <f>+G23</f>
        <v>6.2177999999999997E-2</v>
      </c>
    </row>
    <row r="24" spans="1:8" s="1198" customFormat="1">
      <c r="A24" s="1244">
        <v>17</v>
      </c>
      <c r="B24" s="1116" t="s">
        <v>691</v>
      </c>
      <c r="C24" s="1209"/>
      <c r="D24" s="1209"/>
      <c r="E24" s="1247">
        <f t="shared" si="0"/>
        <v>0</v>
      </c>
      <c r="F24" s="1256"/>
      <c r="G24" s="1209"/>
      <c r="H24" s="1248"/>
    </row>
    <row r="25" spans="1:8" s="1071" customFormat="1">
      <c r="A25" s="1259"/>
      <c r="B25" s="1259" t="s">
        <v>18</v>
      </c>
      <c r="C25" s="1260">
        <f>SUM(C8:C24)</f>
        <v>0</v>
      </c>
      <c r="D25" s="1260">
        <f t="shared" ref="D25:H25" si="2">SUM(D8:D24)</f>
        <v>0.23975478993670318</v>
      </c>
      <c r="E25" s="1260">
        <f t="shared" si="2"/>
        <v>0.23975478993670318</v>
      </c>
      <c r="F25" s="1260">
        <f t="shared" si="2"/>
        <v>0</v>
      </c>
      <c r="G25" s="1260">
        <f t="shared" si="2"/>
        <v>0.2431547899367032</v>
      </c>
      <c r="H25" s="1260">
        <f t="shared" si="2"/>
        <v>0.2431547899367032</v>
      </c>
    </row>
    <row r="26" spans="1:8">
      <c r="A26" s="1261"/>
      <c r="B26" s="1261"/>
      <c r="C26" s="1262"/>
      <c r="D26" s="1261"/>
      <c r="E26" s="1261"/>
      <c r="F26" s="1261"/>
    </row>
    <row r="27" spans="1:8">
      <c r="A27" s="1261"/>
      <c r="B27" s="1262"/>
      <c r="C27" s="1262"/>
      <c r="D27" s="1261"/>
    </row>
    <row r="28" spans="1:8">
      <c r="C28" s="1071"/>
      <c r="D28" s="1071"/>
      <c r="E28" s="1071"/>
      <c r="F28" s="1071"/>
    </row>
  </sheetData>
  <mergeCells count="10">
    <mergeCell ref="F6:G6"/>
    <mergeCell ref="F5:G5"/>
    <mergeCell ref="A1:B1"/>
    <mergeCell ref="C6:E6"/>
    <mergeCell ref="A2:E2"/>
    <mergeCell ref="D3:E3"/>
    <mergeCell ref="A5:A7"/>
    <mergeCell ref="B5:B7"/>
    <mergeCell ref="C5:E5"/>
    <mergeCell ref="D4:E4"/>
  </mergeCells>
  <printOptions horizontalCentered="1"/>
  <pageMargins left="0.70866141732283472" right="0.70866141732283472" top="0.74803149606299213" bottom="0.35433070866141736" header="0.31496062992125984" footer="0.31496062992125984"/>
  <pageSetup paperSize="5" scale="7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FFFF"/>
  </sheetPr>
  <dimension ref="A1:F26"/>
  <sheetViews>
    <sheetView zoomScaleNormal="100" zoomScaleSheetLayoutView="85" workbookViewId="0">
      <selection activeCell="I23" sqref="I23"/>
    </sheetView>
  </sheetViews>
  <sheetFormatPr defaultColWidth="9.19921875" defaultRowHeight="17.25" customHeight="1"/>
  <cols>
    <col min="1" max="1" width="7" style="592" customWidth="1"/>
    <col min="2" max="2" width="32.53125" style="592" customWidth="1"/>
    <col min="3" max="6" width="13.796875" style="592" customWidth="1"/>
    <col min="7" max="16384" width="9.19921875" style="592"/>
  </cols>
  <sheetData>
    <row r="1" spans="1:6" ht="17.25" customHeight="1">
      <c r="A1" s="1631" t="s">
        <v>1827</v>
      </c>
      <c r="B1" s="1631"/>
    </row>
    <row r="2" spans="1:6" ht="17.25" customHeight="1">
      <c r="A2" s="2090" t="str">
        <f>+'BS1'!A2</f>
        <v>NIDP DEVELOPERS PRIVATE LIMITED</v>
      </c>
      <c r="B2" s="2090"/>
      <c r="C2" s="2090"/>
      <c r="D2" s="2090"/>
    </row>
    <row r="3" spans="1:6" ht="17.25" customHeight="1">
      <c r="A3" s="476" t="s">
        <v>7</v>
      </c>
      <c r="B3" s="476"/>
      <c r="C3" s="2075"/>
      <c r="D3" s="2075"/>
      <c r="E3" s="2075"/>
      <c r="F3" s="2075"/>
    </row>
    <row r="4" spans="1:6" ht="17.25" customHeight="1">
      <c r="A4" s="19"/>
      <c r="B4" s="37"/>
      <c r="C4" s="2091"/>
      <c r="D4" s="2091"/>
      <c r="E4" s="2086" t="s">
        <v>93</v>
      </c>
      <c r="F4" s="2086"/>
    </row>
    <row r="5" spans="1:6" ht="28.5" customHeight="1">
      <c r="A5" s="2088" t="s">
        <v>74</v>
      </c>
      <c r="B5" s="2089" t="s">
        <v>10</v>
      </c>
      <c r="C5" s="1978" t="s">
        <v>1443</v>
      </c>
      <c r="D5" s="1978"/>
      <c r="E5" s="152" t="s">
        <v>344</v>
      </c>
      <c r="F5" s="152" t="s">
        <v>739</v>
      </c>
    </row>
    <row r="6" spans="1:6" ht="17.25" customHeight="1">
      <c r="A6" s="2088"/>
      <c r="B6" s="2089"/>
      <c r="C6" s="2087" t="s">
        <v>343</v>
      </c>
      <c r="D6" s="2087"/>
      <c r="E6" s="146" t="s">
        <v>1442</v>
      </c>
      <c r="F6" s="491" t="s">
        <v>2024</v>
      </c>
    </row>
    <row r="7" spans="1:6" ht="27.6" customHeight="1">
      <c r="A7" s="2088"/>
      <c r="B7" s="2089"/>
      <c r="C7" s="152" t="s">
        <v>182</v>
      </c>
      <c r="D7" s="152" t="s">
        <v>338</v>
      </c>
      <c r="E7" s="151" t="s">
        <v>346</v>
      </c>
      <c r="F7" s="152" t="s">
        <v>183</v>
      </c>
    </row>
    <row r="8" spans="1:6" ht="17.25" customHeight="1">
      <c r="A8" s="900" t="s">
        <v>32</v>
      </c>
      <c r="B8" s="901" t="s">
        <v>101</v>
      </c>
      <c r="C8" s="854">
        <f>C19/(1-C20)</f>
        <v>1.6616851788531815</v>
      </c>
      <c r="D8" s="854">
        <f t="shared" ref="D8:F8" si="0">D19/(1-D20)</f>
        <v>1.6616851788531815</v>
      </c>
      <c r="E8" s="854">
        <f t="shared" si="0"/>
        <v>1.6616851788531815</v>
      </c>
      <c r="F8" s="854">
        <f t="shared" si="0"/>
        <v>1.7224351788531813</v>
      </c>
    </row>
    <row r="9" spans="1:6" ht="17.25" customHeight="1">
      <c r="A9" s="903"/>
      <c r="B9" s="904" t="s">
        <v>94</v>
      </c>
      <c r="C9" s="712"/>
      <c r="D9" s="712"/>
      <c r="E9" s="902"/>
      <c r="F9" s="902"/>
    </row>
    <row r="10" spans="1:6" ht="17.25" customHeight="1">
      <c r="A10" s="903"/>
      <c r="B10" s="904" t="s">
        <v>95</v>
      </c>
      <c r="C10" s="712"/>
      <c r="D10" s="712"/>
      <c r="E10" s="902"/>
      <c r="F10" s="902"/>
    </row>
    <row r="11" spans="1:6" ht="17.25" customHeight="1">
      <c r="A11" s="903"/>
      <c r="B11" s="904" t="s">
        <v>97</v>
      </c>
      <c r="C11" s="712"/>
      <c r="D11" s="712"/>
      <c r="E11" s="902"/>
      <c r="F11" s="902"/>
    </row>
    <row r="12" spans="1:6" ht="17.25" customHeight="1">
      <c r="A12" s="905"/>
      <c r="B12" s="904" t="s">
        <v>96</v>
      </c>
      <c r="C12" s="712"/>
      <c r="D12" s="712"/>
      <c r="E12" s="902"/>
      <c r="F12" s="902"/>
    </row>
    <row r="13" spans="1:6" ht="17.25" customHeight="1">
      <c r="A13" s="905"/>
      <c r="B13" s="901" t="s">
        <v>98</v>
      </c>
      <c r="C13" s="906">
        <f>+C8</f>
        <v>1.6616851788531815</v>
      </c>
      <c r="D13" s="906">
        <f t="shared" ref="D13:F13" si="1">+D8</f>
        <v>1.6616851788531815</v>
      </c>
      <c r="E13" s="906">
        <f t="shared" si="1"/>
        <v>1.6616851788531815</v>
      </c>
      <c r="F13" s="906">
        <f t="shared" si="1"/>
        <v>1.7224351788531813</v>
      </c>
    </row>
    <row r="14" spans="1:6" ht="17.25" customHeight="1">
      <c r="A14" s="905"/>
      <c r="B14" s="904" t="s">
        <v>36</v>
      </c>
      <c r="C14" s="899">
        <v>0</v>
      </c>
      <c r="D14" s="899">
        <v>0</v>
      </c>
      <c r="E14" s="899">
        <v>0</v>
      </c>
      <c r="F14" s="899">
        <v>0</v>
      </c>
    </row>
    <row r="15" spans="1:6" ht="17.25" customHeight="1">
      <c r="A15" s="905"/>
      <c r="B15" s="904" t="s">
        <v>99</v>
      </c>
      <c r="C15" s="906">
        <f>+C13*C14</f>
        <v>0</v>
      </c>
      <c r="D15" s="906">
        <f t="shared" ref="D15:F15" si="2">+D13*D14</f>
        <v>0</v>
      </c>
      <c r="E15" s="906">
        <f t="shared" si="2"/>
        <v>0</v>
      </c>
      <c r="F15" s="906">
        <f t="shared" si="2"/>
        <v>0</v>
      </c>
    </row>
    <row r="16" spans="1:6" ht="17.25" customHeight="1">
      <c r="A16" s="905"/>
      <c r="B16" s="904" t="s">
        <v>1389</v>
      </c>
      <c r="C16" s="906"/>
      <c r="D16" s="906"/>
      <c r="E16" s="907"/>
      <c r="F16" s="907"/>
    </row>
    <row r="17" spans="1:6" ht="17.25" customHeight="1">
      <c r="A17" s="905"/>
      <c r="B17" s="904" t="s">
        <v>1390</v>
      </c>
      <c r="C17" s="712"/>
      <c r="D17" s="712"/>
      <c r="E17" s="902"/>
      <c r="F17" s="902"/>
    </row>
    <row r="18" spans="1:6" ht="17.25" customHeight="1">
      <c r="A18" s="905"/>
      <c r="B18" s="904" t="s">
        <v>698</v>
      </c>
      <c r="C18" s="712"/>
      <c r="D18" s="712"/>
      <c r="E18" s="902"/>
      <c r="F18" s="902"/>
    </row>
    <row r="19" spans="1:6" ht="17.25" customHeight="1">
      <c r="A19" s="908" t="s">
        <v>33</v>
      </c>
      <c r="B19" s="901" t="s">
        <v>28</v>
      </c>
      <c r="C19" s="712">
        <f>+F26_ROE!H13</f>
        <v>1.6616851788531815</v>
      </c>
      <c r="D19" s="712">
        <f>+F26_ROE!I13</f>
        <v>1.6616851788531815</v>
      </c>
      <c r="E19" s="712">
        <f>+F26_ROE!K13</f>
        <v>1.6616851788531815</v>
      </c>
      <c r="F19" s="712">
        <f>+F26_ROE!L13</f>
        <v>1.7224351788531813</v>
      </c>
    </row>
    <row r="20" spans="1:6" ht="17.25" customHeight="1">
      <c r="A20" s="909"/>
      <c r="B20" s="904" t="s">
        <v>36</v>
      </c>
      <c r="C20" s="899">
        <v>0</v>
      </c>
      <c r="D20" s="899">
        <v>0</v>
      </c>
      <c r="E20" s="899">
        <v>0</v>
      </c>
      <c r="F20" s="899">
        <v>0</v>
      </c>
    </row>
    <row r="21" spans="1:6" ht="17.25" customHeight="1">
      <c r="A21" s="909"/>
      <c r="B21" s="904" t="s">
        <v>99</v>
      </c>
      <c r="C21" s="906">
        <f>+C19*C20/(1-C20)</f>
        <v>0</v>
      </c>
      <c r="D21" s="906">
        <f t="shared" ref="D21:F21" si="3">+D19*D20/(1-D20)</f>
        <v>0</v>
      </c>
      <c r="E21" s="906">
        <f t="shared" si="3"/>
        <v>0</v>
      </c>
      <c r="F21" s="906">
        <f t="shared" si="3"/>
        <v>0</v>
      </c>
    </row>
    <row r="22" spans="1:6" ht="17.25" customHeight="1">
      <c r="A22" s="909"/>
      <c r="B22" s="904"/>
      <c r="C22" s="712"/>
      <c r="D22" s="712"/>
      <c r="E22" s="902"/>
      <c r="F22" s="902"/>
    </row>
    <row r="23" spans="1:6" ht="29.25" customHeight="1">
      <c r="A23" s="910"/>
      <c r="B23" s="911" t="s">
        <v>100</v>
      </c>
      <c r="C23" s="906">
        <f>MIN(C21,C15)</f>
        <v>0</v>
      </c>
      <c r="D23" s="906">
        <f t="shared" ref="D23:F23" si="4">MIN(D21,D15)</f>
        <v>0</v>
      </c>
      <c r="E23" s="906">
        <f t="shared" si="4"/>
        <v>0</v>
      </c>
      <c r="F23" s="906">
        <f t="shared" si="4"/>
        <v>0</v>
      </c>
    </row>
    <row r="24" spans="1:6" ht="17.25" customHeight="1">
      <c r="A24" s="912"/>
      <c r="B24" s="913"/>
      <c r="C24" s="913"/>
      <c r="D24" s="913"/>
    </row>
    <row r="26" spans="1:6" ht="17.25" customHeight="1">
      <c r="C26" s="153"/>
      <c r="D26" s="153"/>
    </row>
  </sheetData>
  <mergeCells count="10">
    <mergeCell ref="E3:F3"/>
    <mergeCell ref="E4:F4"/>
    <mergeCell ref="A1:B1"/>
    <mergeCell ref="C6:D6"/>
    <mergeCell ref="C5:D5"/>
    <mergeCell ref="A5:A7"/>
    <mergeCell ref="B5:B7"/>
    <mergeCell ref="C3:D3"/>
    <mergeCell ref="A2:D2"/>
    <mergeCell ref="C4:D4"/>
  </mergeCells>
  <printOptions horizontalCentered="1"/>
  <pageMargins left="0.70866141732283472" right="0.70866141732283472" top="0.74803149606299213" bottom="0.74803149606299213" header="0.31496062992125984" footer="0.31496062992125984"/>
  <pageSetup paperSize="5" scale="11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FF"/>
    <pageSetUpPr fitToPage="1"/>
  </sheetPr>
  <dimension ref="A1:E63"/>
  <sheetViews>
    <sheetView view="pageBreakPreview" zoomScaleNormal="85" zoomScaleSheetLayoutView="100" workbookViewId="0">
      <selection activeCell="G16" sqref="G16"/>
    </sheetView>
  </sheetViews>
  <sheetFormatPr defaultRowHeight="18" customHeight="1"/>
  <cols>
    <col min="1" max="1" width="4.19921875" customWidth="1"/>
    <col min="2" max="2" width="7.796875" customWidth="1"/>
    <col min="3" max="3" width="53.73046875" style="184" customWidth="1"/>
    <col min="4" max="4" width="16.53125" bestFit="1" customWidth="1"/>
    <col min="5" max="5" width="14.796875" customWidth="1"/>
    <col min="6" max="246" width="9.19921875"/>
    <col min="247" max="247" width="4.19921875" customWidth="1"/>
    <col min="248" max="248" width="2.19921875" bestFit="1" customWidth="1"/>
    <col min="249" max="249" width="50.19921875" customWidth="1"/>
    <col min="250" max="250" width="9.796875" customWidth="1"/>
    <col min="251" max="251" width="11.796875" customWidth="1"/>
    <col min="252" max="252" width="13" customWidth="1"/>
    <col min="253" max="502" width="9.19921875"/>
    <col min="503" max="503" width="4.19921875" customWidth="1"/>
    <col min="504" max="504" width="2.19921875" bestFit="1" customWidth="1"/>
    <col min="505" max="505" width="50.19921875" customWidth="1"/>
    <col min="506" max="506" width="9.796875" customWidth="1"/>
    <col min="507" max="507" width="11.796875" customWidth="1"/>
    <col min="508" max="508" width="13" customWidth="1"/>
    <col min="509" max="758" width="9.19921875"/>
    <col min="759" max="759" width="4.19921875" customWidth="1"/>
    <col min="760" max="760" width="2.19921875" bestFit="1" customWidth="1"/>
    <col min="761" max="761" width="50.19921875" customWidth="1"/>
    <col min="762" max="762" width="9.796875" customWidth="1"/>
    <col min="763" max="763" width="11.796875" customWidth="1"/>
    <col min="764" max="764" width="13" customWidth="1"/>
    <col min="765" max="1014" width="9.19921875"/>
    <col min="1015" max="1015" width="4.19921875" customWidth="1"/>
    <col min="1016" max="1016" width="2.19921875" bestFit="1" customWidth="1"/>
    <col min="1017" max="1017" width="50.19921875" customWidth="1"/>
    <col min="1018" max="1018" width="9.796875" customWidth="1"/>
    <col min="1019" max="1019" width="11.796875" customWidth="1"/>
    <col min="1020" max="1020" width="13" customWidth="1"/>
    <col min="1021" max="1270" width="9.19921875"/>
    <col min="1271" max="1271" width="4.19921875" customWidth="1"/>
    <col min="1272" max="1272" width="2.19921875" bestFit="1" customWidth="1"/>
    <col min="1273" max="1273" width="50.19921875" customWidth="1"/>
    <col min="1274" max="1274" width="9.796875" customWidth="1"/>
    <col min="1275" max="1275" width="11.796875" customWidth="1"/>
    <col min="1276" max="1276" width="13" customWidth="1"/>
    <col min="1277" max="1526" width="9.19921875"/>
    <col min="1527" max="1527" width="4.19921875" customWidth="1"/>
    <col min="1528" max="1528" width="2.19921875" bestFit="1" customWidth="1"/>
    <col min="1529" max="1529" width="50.19921875" customWidth="1"/>
    <col min="1530" max="1530" width="9.796875" customWidth="1"/>
    <col min="1531" max="1531" width="11.796875" customWidth="1"/>
    <col min="1532" max="1532" width="13" customWidth="1"/>
    <col min="1533" max="1782" width="9.19921875"/>
    <col min="1783" max="1783" width="4.19921875" customWidth="1"/>
    <col min="1784" max="1784" width="2.19921875" bestFit="1" customWidth="1"/>
    <col min="1785" max="1785" width="50.19921875" customWidth="1"/>
    <col min="1786" max="1786" width="9.796875" customWidth="1"/>
    <col min="1787" max="1787" width="11.796875" customWidth="1"/>
    <col min="1788" max="1788" width="13" customWidth="1"/>
    <col min="1789" max="2038" width="9.19921875"/>
    <col min="2039" max="2039" width="4.19921875" customWidth="1"/>
    <col min="2040" max="2040" width="2.19921875" bestFit="1" customWidth="1"/>
    <col min="2041" max="2041" width="50.19921875" customWidth="1"/>
    <col min="2042" max="2042" width="9.796875" customWidth="1"/>
    <col min="2043" max="2043" width="11.796875" customWidth="1"/>
    <col min="2044" max="2044" width="13" customWidth="1"/>
    <col min="2045" max="2294" width="9.19921875"/>
    <col min="2295" max="2295" width="4.19921875" customWidth="1"/>
    <col min="2296" max="2296" width="2.19921875" bestFit="1" customWidth="1"/>
    <col min="2297" max="2297" width="50.19921875" customWidth="1"/>
    <col min="2298" max="2298" width="9.796875" customWidth="1"/>
    <col min="2299" max="2299" width="11.796875" customWidth="1"/>
    <col min="2300" max="2300" width="13" customWidth="1"/>
    <col min="2301" max="2550" width="9.19921875"/>
    <col min="2551" max="2551" width="4.19921875" customWidth="1"/>
    <col min="2552" max="2552" width="2.19921875" bestFit="1" customWidth="1"/>
    <col min="2553" max="2553" width="50.19921875" customWidth="1"/>
    <col min="2554" max="2554" width="9.796875" customWidth="1"/>
    <col min="2555" max="2555" width="11.796875" customWidth="1"/>
    <col min="2556" max="2556" width="13" customWidth="1"/>
    <col min="2557" max="2806" width="9.19921875"/>
    <col min="2807" max="2807" width="4.19921875" customWidth="1"/>
    <col min="2808" max="2808" width="2.19921875" bestFit="1" customWidth="1"/>
    <col min="2809" max="2809" width="50.19921875" customWidth="1"/>
    <col min="2810" max="2810" width="9.796875" customWidth="1"/>
    <col min="2811" max="2811" width="11.796875" customWidth="1"/>
    <col min="2812" max="2812" width="13" customWidth="1"/>
    <col min="2813" max="3062" width="9.19921875"/>
    <col min="3063" max="3063" width="4.19921875" customWidth="1"/>
    <col min="3064" max="3064" width="2.19921875" bestFit="1" customWidth="1"/>
    <col min="3065" max="3065" width="50.19921875" customWidth="1"/>
    <col min="3066" max="3066" width="9.796875" customWidth="1"/>
    <col min="3067" max="3067" width="11.796875" customWidth="1"/>
    <col min="3068" max="3068" width="13" customWidth="1"/>
    <col min="3069" max="3318" width="9.19921875"/>
    <col min="3319" max="3319" width="4.19921875" customWidth="1"/>
    <col min="3320" max="3320" width="2.19921875" bestFit="1" customWidth="1"/>
    <col min="3321" max="3321" width="50.19921875" customWidth="1"/>
    <col min="3322" max="3322" width="9.796875" customWidth="1"/>
    <col min="3323" max="3323" width="11.796875" customWidth="1"/>
    <col min="3324" max="3324" width="13" customWidth="1"/>
    <col min="3325" max="3574" width="9.19921875"/>
    <col min="3575" max="3575" width="4.19921875" customWidth="1"/>
    <col min="3576" max="3576" width="2.19921875" bestFit="1" customWidth="1"/>
    <col min="3577" max="3577" width="50.19921875" customWidth="1"/>
    <col min="3578" max="3578" width="9.796875" customWidth="1"/>
    <col min="3579" max="3579" width="11.796875" customWidth="1"/>
    <col min="3580" max="3580" width="13" customWidth="1"/>
    <col min="3581" max="3830" width="9.19921875"/>
    <col min="3831" max="3831" width="4.19921875" customWidth="1"/>
    <col min="3832" max="3832" width="2.19921875" bestFit="1" customWidth="1"/>
    <col min="3833" max="3833" width="50.19921875" customWidth="1"/>
    <col min="3834" max="3834" width="9.796875" customWidth="1"/>
    <col min="3835" max="3835" width="11.796875" customWidth="1"/>
    <col min="3836" max="3836" width="13" customWidth="1"/>
    <col min="3837" max="4086" width="9.19921875"/>
    <col min="4087" max="4087" width="4.19921875" customWidth="1"/>
    <col min="4088" max="4088" width="2.19921875" bestFit="1" customWidth="1"/>
    <col min="4089" max="4089" width="50.19921875" customWidth="1"/>
    <col min="4090" max="4090" width="9.796875" customWidth="1"/>
    <col min="4091" max="4091" width="11.796875" customWidth="1"/>
    <col min="4092" max="4092" width="13" customWidth="1"/>
    <col min="4093" max="4342" width="9.19921875"/>
    <col min="4343" max="4343" width="4.19921875" customWidth="1"/>
    <col min="4344" max="4344" width="2.19921875" bestFit="1" customWidth="1"/>
    <col min="4345" max="4345" width="50.19921875" customWidth="1"/>
    <col min="4346" max="4346" width="9.796875" customWidth="1"/>
    <col min="4347" max="4347" width="11.796875" customWidth="1"/>
    <col min="4348" max="4348" width="13" customWidth="1"/>
    <col min="4349" max="4598" width="9.19921875"/>
    <col min="4599" max="4599" width="4.19921875" customWidth="1"/>
    <col min="4600" max="4600" width="2.19921875" bestFit="1" customWidth="1"/>
    <col min="4601" max="4601" width="50.19921875" customWidth="1"/>
    <col min="4602" max="4602" width="9.796875" customWidth="1"/>
    <col min="4603" max="4603" width="11.796875" customWidth="1"/>
    <col min="4604" max="4604" width="13" customWidth="1"/>
    <col min="4605" max="4854" width="9.19921875"/>
    <col min="4855" max="4855" width="4.19921875" customWidth="1"/>
    <col min="4856" max="4856" width="2.19921875" bestFit="1" customWidth="1"/>
    <col min="4857" max="4857" width="50.19921875" customWidth="1"/>
    <col min="4858" max="4858" width="9.796875" customWidth="1"/>
    <col min="4859" max="4859" width="11.796875" customWidth="1"/>
    <col min="4860" max="4860" width="13" customWidth="1"/>
    <col min="4861" max="5110" width="9.19921875"/>
    <col min="5111" max="5111" width="4.19921875" customWidth="1"/>
    <col min="5112" max="5112" width="2.19921875" bestFit="1" customWidth="1"/>
    <col min="5113" max="5113" width="50.19921875" customWidth="1"/>
    <col min="5114" max="5114" width="9.796875" customWidth="1"/>
    <col min="5115" max="5115" width="11.796875" customWidth="1"/>
    <col min="5116" max="5116" width="13" customWidth="1"/>
    <col min="5117" max="5366" width="9.19921875"/>
    <col min="5367" max="5367" width="4.19921875" customWidth="1"/>
    <col min="5368" max="5368" width="2.19921875" bestFit="1" customWidth="1"/>
    <col min="5369" max="5369" width="50.19921875" customWidth="1"/>
    <col min="5370" max="5370" width="9.796875" customWidth="1"/>
    <col min="5371" max="5371" width="11.796875" customWidth="1"/>
    <col min="5372" max="5372" width="13" customWidth="1"/>
    <col min="5373" max="5622" width="9.19921875"/>
    <col min="5623" max="5623" width="4.19921875" customWidth="1"/>
    <col min="5624" max="5624" width="2.19921875" bestFit="1" customWidth="1"/>
    <col min="5625" max="5625" width="50.19921875" customWidth="1"/>
    <col min="5626" max="5626" width="9.796875" customWidth="1"/>
    <col min="5627" max="5627" width="11.796875" customWidth="1"/>
    <col min="5628" max="5628" width="13" customWidth="1"/>
    <col min="5629" max="5878" width="9.19921875"/>
    <col min="5879" max="5879" width="4.19921875" customWidth="1"/>
    <col min="5880" max="5880" width="2.19921875" bestFit="1" customWidth="1"/>
    <col min="5881" max="5881" width="50.19921875" customWidth="1"/>
    <col min="5882" max="5882" width="9.796875" customWidth="1"/>
    <col min="5883" max="5883" width="11.796875" customWidth="1"/>
    <col min="5884" max="5884" width="13" customWidth="1"/>
    <col min="5885" max="6134" width="9.19921875"/>
    <col min="6135" max="6135" width="4.19921875" customWidth="1"/>
    <col min="6136" max="6136" width="2.19921875" bestFit="1" customWidth="1"/>
    <col min="6137" max="6137" width="50.19921875" customWidth="1"/>
    <col min="6138" max="6138" width="9.796875" customWidth="1"/>
    <col min="6139" max="6139" width="11.796875" customWidth="1"/>
    <col min="6140" max="6140" width="13" customWidth="1"/>
    <col min="6141" max="6390" width="9.19921875"/>
    <col min="6391" max="6391" width="4.19921875" customWidth="1"/>
    <col min="6392" max="6392" width="2.19921875" bestFit="1" customWidth="1"/>
    <col min="6393" max="6393" width="50.19921875" customWidth="1"/>
    <col min="6394" max="6394" width="9.796875" customWidth="1"/>
    <col min="6395" max="6395" width="11.796875" customWidth="1"/>
    <col min="6396" max="6396" width="13" customWidth="1"/>
    <col min="6397" max="6646" width="9.19921875"/>
    <col min="6647" max="6647" width="4.19921875" customWidth="1"/>
    <col min="6648" max="6648" width="2.19921875" bestFit="1" customWidth="1"/>
    <col min="6649" max="6649" width="50.19921875" customWidth="1"/>
    <col min="6650" max="6650" width="9.796875" customWidth="1"/>
    <col min="6651" max="6651" width="11.796875" customWidth="1"/>
    <col min="6652" max="6652" width="13" customWidth="1"/>
    <col min="6653" max="6902" width="9.19921875"/>
    <col min="6903" max="6903" width="4.19921875" customWidth="1"/>
    <col min="6904" max="6904" width="2.19921875" bestFit="1" customWidth="1"/>
    <col min="6905" max="6905" width="50.19921875" customWidth="1"/>
    <col min="6906" max="6906" width="9.796875" customWidth="1"/>
    <col min="6907" max="6907" width="11.796875" customWidth="1"/>
    <col min="6908" max="6908" width="13" customWidth="1"/>
    <col min="6909" max="7158" width="9.19921875"/>
    <col min="7159" max="7159" width="4.19921875" customWidth="1"/>
    <col min="7160" max="7160" width="2.19921875" bestFit="1" customWidth="1"/>
    <col min="7161" max="7161" width="50.19921875" customWidth="1"/>
    <col min="7162" max="7162" width="9.796875" customWidth="1"/>
    <col min="7163" max="7163" width="11.796875" customWidth="1"/>
    <col min="7164" max="7164" width="13" customWidth="1"/>
    <col min="7165" max="7414" width="9.19921875"/>
    <col min="7415" max="7415" width="4.19921875" customWidth="1"/>
    <col min="7416" max="7416" width="2.19921875" bestFit="1" customWidth="1"/>
    <col min="7417" max="7417" width="50.19921875" customWidth="1"/>
    <col min="7418" max="7418" width="9.796875" customWidth="1"/>
    <col min="7419" max="7419" width="11.796875" customWidth="1"/>
    <col min="7420" max="7420" width="13" customWidth="1"/>
    <col min="7421" max="7670" width="9.19921875"/>
    <col min="7671" max="7671" width="4.19921875" customWidth="1"/>
    <col min="7672" max="7672" width="2.19921875" bestFit="1" customWidth="1"/>
    <col min="7673" max="7673" width="50.19921875" customWidth="1"/>
    <col min="7674" max="7674" width="9.796875" customWidth="1"/>
    <col min="7675" max="7675" width="11.796875" customWidth="1"/>
    <col min="7676" max="7676" width="13" customWidth="1"/>
    <col min="7677" max="7926" width="9.19921875"/>
    <col min="7927" max="7927" width="4.19921875" customWidth="1"/>
    <col min="7928" max="7928" width="2.19921875" bestFit="1" customWidth="1"/>
    <col min="7929" max="7929" width="50.19921875" customWidth="1"/>
    <col min="7930" max="7930" width="9.796875" customWidth="1"/>
    <col min="7931" max="7931" width="11.796875" customWidth="1"/>
    <col min="7932" max="7932" width="13" customWidth="1"/>
    <col min="7933" max="8182" width="9.19921875"/>
    <col min="8183" max="8183" width="4.19921875" customWidth="1"/>
    <col min="8184" max="8184" width="2.19921875" bestFit="1" customWidth="1"/>
    <col min="8185" max="8185" width="50.19921875" customWidth="1"/>
    <col min="8186" max="8186" width="9.796875" customWidth="1"/>
    <col min="8187" max="8187" width="11.796875" customWidth="1"/>
    <col min="8188" max="8188" width="13" customWidth="1"/>
    <col min="8189" max="8438" width="9.19921875"/>
    <col min="8439" max="8439" width="4.19921875" customWidth="1"/>
    <col min="8440" max="8440" width="2.19921875" bestFit="1" customWidth="1"/>
    <col min="8441" max="8441" width="50.19921875" customWidth="1"/>
    <col min="8442" max="8442" width="9.796875" customWidth="1"/>
    <col min="8443" max="8443" width="11.796875" customWidth="1"/>
    <col min="8444" max="8444" width="13" customWidth="1"/>
    <col min="8445" max="8694" width="9.19921875"/>
    <col min="8695" max="8695" width="4.19921875" customWidth="1"/>
    <col min="8696" max="8696" width="2.19921875" bestFit="1" customWidth="1"/>
    <col min="8697" max="8697" width="50.19921875" customWidth="1"/>
    <col min="8698" max="8698" width="9.796875" customWidth="1"/>
    <col min="8699" max="8699" width="11.796875" customWidth="1"/>
    <col min="8700" max="8700" width="13" customWidth="1"/>
    <col min="8701" max="8950" width="9.19921875"/>
    <col min="8951" max="8951" width="4.19921875" customWidth="1"/>
    <col min="8952" max="8952" width="2.19921875" bestFit="1" customWidth="1"/>
    <col min="8953" max="8953" width="50.19921875" customWidth="1"/>
    <col min="8954" max="8954" width="9.796875" customWidth="1"/>
    <col min="8955" max="8955" width="11.796875" customWidth="1"/>
    <col min="8956" max="8956" width="13" customWidth="1"/>
    <col min="8957" max="9206" width="9.19921875"/>
    <col min="9207" max="9207" width="4.19921875" customWidth="1"/>
    <col min="9208" max="9208" width="2.19921875" bestFit="1" customWidth="1"/>
    <col min="9209" max="9209" width="50.19921875" customWidth="1"/>
    <col min="9210" max="9210" width="9.796875" customWidth="1"/>
    <col min="9211" max="9211" width="11.796875" customWidth="1"/>
    <col min="9212" max="9212" width="13" customWidth="1"/>
    <col min="9213" max="9462" width="9.19921875"/>
    <col min="9463" max="9463" width="4.19921875" customWidth="1"/>
    <col min="9464" max="9464" width="2.19921875" bestFit="1" customWidth="1"/>
    <col min="9465" max="9465" width="50.19921875" customWidth="1"/>
    <col min="9466" max="9466" width="9.796875" customWidth="1"/>
    <col min="9467" max="9467" width="11.796875" customWidth="1"/>
    <col min="9468" max="9468" width="13" customWidth="1"/>
    <col min="9469" max="9718" width="9.19921875"/>
    <col min="9719" max="9719" width="4.19921875" customWidth="1"/>
    <col min="9720" max="9720" width="2.19921875" bestFit="1" customWidth="1"/>
    <col min="9721" max="9721" width="50.19921875" customWidth="1"/>
    <col min="9722" max="9722" width="9.796875" customWidth="1"/>
    <col min="9723" max="9723" width="11.796875" customWidth="1"/>
    <col min="9724" max="9724" width="13" customWidth="1"/>
    <col min="9725" max="9974" width="9.19921875"/>
    <col min="9975" max="9975" width="4.19921875" customWidth="1"/>
    <col min="9976" max="9976" width="2.19921875" bestFit="1" customWidth="1"/>
    <col min="9977" max="9977" width="50.19921875" customWidth="1"/>
    <col min="9978" max="9978" width="9.796875" customWidth="1"/>
    <col min="9979" max="9979" width="11.796875" customWidth="1"/>
    <col min="9980" max="9980" width="13" customWidth="1"/>
    <col min="9981" max="10230" width="9.19921875"/>
    <col min="10231" max="10231" width="4.19921875" customWidth="1"/>
    <col min="10232" max="10232" width="2.19921875" bestFit="1" customWidth="1"/>
    <col min="10233" max="10233" width="50.19921875" customWidth="1"/>
    <col min="10234" max="10234" width="9.796875" customWidth="1"/>
    <col min="10235" max="10235" width="11.796875" customWidth="1"/>
    <col min="10236" max="10236" width="13" customWidth="1"/>
    <col min="10237" max="10486" width="9.19921875"/>
    <col min="10487" max="10487" width="4.19921875" customWidth="1"/>
    <col min="10488" max="10488" width="2.19921875" bestFit="1" customWidth="1"/>
    <col min="10489" max="10489" width="50.19921875" customWidth="1"/>
    <col min="10490" max="10490" width="9.796875" customWidth="1"/>
    <col min="10491" max="10491" width="11.796875" customWidth="1"/>
    <col min="10492" max="10492" width="13" customWidth="1"/>
    <col min="10493" max="10742" width="9.19921875"/>
    <col min="10743" max="10743" width="4.19921875" customWidth="1"/>
    <col min="10744" max="10744" width="2.19921875" bestFit="1" customWidth="1"/>
    <col min="10745" max="10745" width="50.19921875" customWidth="1"/>
    <col min="10746" max="10746" width="9.796875" customWidth="1"/>
    <col min="10747" max="10747" width="11.796875" customWidth="1"/>
    <col min="10748" max="10748" width="13" customWidth="1"/>
    <col min="10749" max="10998" width="9.19921875"/>
    <col min="10999" max="10999" width="4.19921875" customWidth="1"/>
    <col min="11000" max="11000" width="2.19921875" bestFit="1" customWidth="1"/>
    <col min="11001" max="11001" width="50.19921875" customWidth="1"/>
    <col min="11002" max="11002" width="9.796875" customWidth="1"/>
    <col min="11003" max="11003" width="11.796875" customWidth="1"/>
    <col min="11004" max="11004" width="13" customWidth="1"/>
    <col min="11005" max="11254" width="9.19921875"/>
    <col min="11255" max="11255" width="4.19921875" customWidth="1"/>
    <col min="11256" max="11256" width="2.19921875" bestFit="1" customWidth="1"/>
    <col min="11257" max="11257" width="50.19921875" customWidth="1"/>
    <col min="11258" max="11258" width="9.796875" customWidth="1"/>
    <col min="11259" max="11259" width="11.796875" customWidth="1"/>
    <col min="11260" max="11260" width="13" customWidth="1"/>
    <col min="11261" max="11510" width="9.19921875"/>
    <col min="11511" max="11511" width="4.19921875" customWidth="1"/>
    <col min="11512" max="11512" width="2.19921875" bestFit="1" customWidth="1"/>
    <col min="11513" max="11513" width="50.19921875" customWidth="1"/>
    <col min="11514" max="11514" width="9.796875" customWidth="1"/>
    <col min="11515" max="11515" width="11.796875" customWidth="1"/>
    <col min="11516" max="11516" width="13" customWidth="1"/>
    <col min="11517" max="11766" width="9.19921875"/>
    <col min="11767" max="11767" width="4.19921875" customWidth="1"/>
    <col min="11768" max="11768" width="2.19921875" bestFit="1" customWidth="1"/>
    <col min="11769" max="11769" width="50.19921875" customWidth="1"/>
    <col min="11770" max="11770" width="9.796875" customWidth="1"/>
    <col min="11771" max="11771" width="11.796875" customWidth="1"/>
    <col min="11772" max="11772" width="13" customWidth="1"/>
    <col min="11773" max="12022" width="9.19921875"/>
    <col min="12023" max="12023" width="4.19921875" customWidth="1"/>
    <col min="12024" max="12024" width="2.19921875" bestFit="1" customWidth="1"/>
    <col min="12025" max="12025" width="50.19921875" customWidth="1"/>
    <col min="12026" max="12026" width="9.796875" customWidth="1"/>
    <col min="12027" max="12027" width="11.796875" customWidth="1"/>
    <col min="12028" max="12028" width="13" customWidth="1"/>
    <col min="12029" max="12278" width="9.19921875"/>
    <col min="12279" max="12279" width="4.19921875" customWidth="1"/>
    <col min="12280" max="12280" width="2.19921875" bestFit="1" customWidth="1"/>
    <col min="12281" max="12281" width="50.19921875" customWidth="1"/>
    <col min="12282" max="12282" width="9.796875" customWidth="1"/>
    <col min="12283" max="12283" width="11.796875" customWidth="1"/>
    <col min="12284" max="12284" width="13" customWidth="1"/>
    <col min="12285" max="12534" width="9.19921875"/>
    <col min="12535" max="12535" width="4.19921875" customWidth="1"/>
    <col min="12536" max="12536" width="2.19921875" bestFit="1" customWidth="1"/>
    <col min="12537" max="12537" width="50.19921875" customWidth="1"/>
    <col min="12538" max="12538" width="9.796875" customWidth="1"/>
    <col min="12539" max="12539" width="11.796875" customWidth="1"/>
    <col min="12540" max="12540" width="13" customWidth="1"/>
    <col min="12541" max="12790" width="9.19921875"/>
    <col min="12791" max="12791" width="4.19921875" customWidth="1"/>
    <col min="12792" max="12792" width="2.19921875" bestFit="1" customWidth="1"/>
    <col min="12793" max="12793" width="50.19921875" customWidth="1"/>
    <col min="12794" max="12794" width="9.796875" customWidth="1"/>
    <col min="12795" max="12795" width="11.796875" customWidth="1"/>
    <col min="12796" max="12796" width="13" customWidth="1"/>
    <col min="12797" max="13046" width="9.19921875"/>
    <col min="13047" max="13047" width="4.19921875" customWidth="1"/>
    <col min="13048" max="13048" width="2.19921875" bestFit="1" customWidth="1"/>
    <col min="13049" max="13049" width="50.19921875" customWidth="1"/>
    <col min="13050" max="13050" width="9.796875" customWidth="1"/>
    <col min="13051" max="13051" width="11.796875" customWidth="1"/>
    <col min="13052" max="13052" width="13" customWidth="1"/>
    <col min="13053" max="13302" width="9.19921875"/>
    <col min="13303" max="13303" width="4.19921875" customWidth="1"/>
    <col min="13304" max="13304" width="2.19921875" bestFit="1" customWidth="1"/>
    <col min="13305" max="13305" width="50.19921875" customWidth="1"/>
    <col min="13306" max="13306" width="9.796875" customWidth="1"/>
    <col min="13307" max="13307" width="11.796875" customWidth="1"/>
    <col min="13308" max="13308" width="13" customWidth="1"/>
    <col min="13309" max="13558" width="9.19921875"/>
    <col min="13559" max="13559" width="4.19921875" customWidth="1"/>
    <col min="13560" max="13560" width="2.19921875" bestFit="1" customWidth="1"/>
    <col min="13561" max="13561" width="50.19921875" customWidth="1"/>
    <col min="13562" max="13562" width="9.796875" customWidth="1"/>
    <col min="13563" max="13563" width="11.796875" customWidth="1"/>
    <col min="13564" max="13564" width="13" customWidth="1"/>
    <col min="13565" max="13814" width="9.19921875"/>
    <col min="13815" max="13815" width="4.19921875" customWidth="1"/>
    <col min="13816" max="13816" width="2.19921875" bestFit="1" customWidth="1"/>
    <col min="13817" max="13817" width="50.19921875" customWidth="1"/>
    <col min="13818" max="13818" width="9.796875" customWidth="1"/>
    <col min="13819" max="13819" width="11.796875" customWidth="1"/>
    <col min="13820" max="13820" width="13" customWidth="1"/>
    <col min="13821" max="14070" width="9.19921875"/>
    <col min="14071" max="14071" width="4.19921875" customWidth="1"/>
    <col min="14072" max="14072" width="2.19921875" bestFit="1" customWidth="1"/>
    <col min="14073" max="14073" width="50.19921875" customWidth="1"/>
    <col min="14074" max="14074" width="9.796875" customWidth="1"/>
    <col min="14075" max="14075" width="11.796875" customWidth="1"/>
    <col min="14076" max="14076" width="13" customWidth="1"/>
    <col min="14077" max="14326" width="9.19921875"/>
    <col min="14327" max="14327" width="4.19921875" customWidth="1"/>
    <col min="14328" max="14328" width="2.19921875" bestFit="1" customWidth="1"/>
    <col min="14329" max="14329" width="50.19921875" customWidth="1"/>
    <col min="14330" max="14330" width="9.796875" customWidth="1"/>
    <col min="14331" max="14331" width="11.796875" customWidth="1"/>
    <col min="14332" max="14332" width="13" customWidth="1"/>
    <col min="14333" max="14582" width="9.19921875"/>
    <col min="14583" max="14583" width="4.19921875" customWidth="1"/>
    <col min="14584" max="14584" width="2.19921875" bestFit="1" customWidth="1"/>
    <col min="14585" max="14585" width="50.19921875" customWidth="1"/>
    <col min="14586" max="14586" width="9.796875" customWidth="1"/>
    <col min="14587" max="14587" width="11.796875" customWidth="1"/>
    <col min="14588" max="14588" width="13" customWidth="1"/>
    <col min="14589" max="14838" width="9.19921875"/>
    <col min="14839" max="14839" width="4.19921875" customWidth="1"/>
    <col min="14840" max="14840" width="2.19921875" bestFit="1" customWidth="1"/>
    <col min="14841" max="14841" width="50.19921875" customWidth="1"/>
    <col min="14842" max="14842" width="9.796875" customWidth="1"/>
    <col min="14843" max="14843" width="11.796875" customWidth="1"/>
    <col min="14844" max="14844" width="13" customWidth="1"/>
    <col min="14845" max="15094" width="9.19921875"/>
    <col min="15095" max="15095" width="4.19921875" customWidth="1"/>
    <col min="15096" max="15096" width="2.19921875" bestFit="1" customWidth="1"/>
    <col min="15097" max="15097" width="50.19921875" customWidth="1"/>
    <col min="15098" max="15098" width="9.796875" customWidth="1"/>
    <col min="15099" max="15099" width="11.796875" customWidth="1"/>
    <col min="15100" max="15100" width="13" customWidth="1"/>
    <col min="15101" max="15350" width="9.19921875"/>
    <col min="15351" max="15351" width="4.19921875" customWidth="1"/>
    <col min="15352" max="15352" width="2.19921875" bestFit="1" customWidth="1"/>
    <col min="15353" max="15353" width="50.19921875" customWidth="1"/>
    <col min="15354" max="15354" width="9.796875" customWidth="1"/>
    <col min="15355" max="15355" width="11.796875" customWidth="1"/>
    <col min="15356" max="15356" width="13" customWidth="1"/>
    <col min="15357" max="15606" width="9.19921875"/>
    <col min="15607" max="15607" width="4.19921875" customWidth="1"/>
    <col min="15608" max="15608" width="2.19921875" bestFit="1" customWidth="1"/>
    <col min="15609" max="15609" width="50.19921875" customWidth="1"/>
    <col min="15610" max="15610" width="9.796875" customWidth="1"/>
    <col min="15611" max="15611" width="11.796875" customWidth="1"/>
    <col min="15612" max="15612" width="13" customWidth="1"/>
    <col min="15613" max="15862" width="9.19921875"/>
    <col min="15863" max="15863" width="4.19921875" customWidth="1"/>
    <col min="15864" max="15864" width="2.19921875" bestFit="1" customWidth="1"/>
    <col min="15865" max="15865" width="50.19921875" customWidth="1"/>
    <col min="15866" max="15866" width="9.796875" customWidth="1"/>
    <col min="15867" max="15867" width="11.796875" customWidth="1"/>
    <col min="15868" max="15868" width="13" customWidth="1"/>
    <col min="15869" max="16118" width="9.19921875"/>
    <col min="16119" max="16119" width="4.19921875" customWidth="1"/>
    <col min="16120" max="16120" width="2.19921875" bestFit="1" customWidth="1"/>
    <col min="16121" max="16121" width="50.19921875" customWidth="1"/>
    <col min="16122" max="16122" width="9.796875" customWidth="1"/>
    <col min="16123" max="16123" width="11.796875" customWidth="1"/>
    <col min="16124" max="16124" width="13" customWidth="1"/>
    <col min="16125" max="16384" width="9.19921875"/>
  </cols>
  <sheetData>
    <row r="1" spans="1:5" ht="18" customHeight="1">
      <c r="A1" s="1507" t="s">
        <v>1787</v>
      </c>
      <c r="B1" s="1507"/>
      <c r="C1" s="1507"/>
    </row>
    <row r="2" spans="1:5" ht="18" customHeight="1">
      <c r="A2" s="1487" t="str">
        <f>+'BS2'!A2</f>
        <v>NIDP DEVELOPERS PRIVATE LIMITED</v>
      </c>
      <c r="B2" s="1487"/>
      <c r="C2" s="1487"/>
      <c r="D2" s="1487"/>
    </row>
    <row r="3" spans="1:5" ht="18" customHeight="1">
      <c r="A3" s="173" t="s">
        <v>154</v>
      </c>
      <c r="B3" s="173"/>
      <c r="C3" s="173"/>
      <c r="D3" s="173"/>
      <c r="E3" s="55"/>
    </row>
    <row r="4" spans="1:5" ht="18" customHeight="1">
      <c r="A4" s="14"/>
      <c r="B4" s="14"/>
      <c r="C4" s="44"/>
      <c r="D4" s="30"/>
      <c r="E4" s="646" t="s">
        <v>93</v>
      </c>
    </row>
    <row r="5" spans="1:5" ht="14.25">
      <c r="A5" s="1514" t="s">
        <v>44</v>
      </c>
      <c r="B5" s="1515"/>
      <c r="C5" s="1488" t="s">
        <v>10</v>
      </c>
      <c r="D5" s="152" t="s">
        <v>507</v>
      </c>
      <c r="E5" s="152" t="s">
        <v>1454</v>
      </c>
    </row>
    <row r="6" spans="1:5" ht="18" customHeight="1">
      <c r="A6" s="1516"/>
      <c r="B6" s="1517"/>
      <c r="C6" s="1488"/>
      <c r="D6" s="146" t="s">
        <v>342</v>
      </c>
      <c r="E6" s="146" t="s">
        <v>343</v>
      </c>
    </row>
    <row r="7" spans="1:5" ht="15.75" customHeight="1">
      <c r="A7" s="1497" t="s">
        <v>32</v>
      </c>
      <c r="B7" s="1502" t="s">
        <v>452</v>
      </c>
      <c r="C7" s="1503"/>
      <c r="D7" s="133"/>
      <c r="E7" s="198"/>
    </row>
    <row r="8" spans="1:5" ht="14.25">
      <c r="A8" s="1498"/>
      <c r="B8" s="1500" t="s">
        <v>477</v>
      </c>
      <c r="C8" s="1501"/>
      <c r="D8" s="1504" t="s">
        <v>2062</v>
      </c>
      <c r="E8" s="1021">
        <f>'BS1'!D24</f>
        <v>1.8804496815201421</v>
      </c>
    </row>
    <row r="9" spans="1:5" ht="14.25">
      <c r="A9" s="1498"/>
      <c r="B9" s="1500" t="s">
        <v>453</v>
      </c>
      <c r="C9" s="1501"/>
      <c r="D9" s="1505"/>
      <c r="E9" s="1"/>
    </row>
    <row r="10" spans="1:5" ht="14.25">
      <c r="A10" s="1498"/>
      <c r="B10" s="199" t="s">
        <v>15</v>
      </c>
      <c r="C10" s="200" t="s">
        <v>21</v>
      </c>
      <c r="D10" s="1505"/>
      <c r="E10" s="1022">
        <f>+'BS1'!D16</f>
        <v>1.631878364731169</v>
      </c>
    </row>
    <row r="11" spans="1:5" ht="28.5">
      <c r="A11" s="1498"/>
      <c r="B11" s="199" t="s">
        <v>16</v>
      </c>
      <c r="C11" s="200" t="s">
        <v>478</v>
      </c>
      <c r="D11" s="1505"/>
      <c r="E11" s="1022"/>
    </row>
    <row r="12" spans="1:5" ht="15" customHeight="1">
      <c r="A12" s="1498"/>
      <c r="B12" s="199" t="s">
        <v>17</v>
      </c>
      <c r="C12" s="201" t="s">
        <v>479</v>
      </c>
      <c r="D12" s="1505"/>
      <c r="E12" s="1022"/>
    </row>
    <row r="13" spans="1:5" ht="15" customHeight="1">
      <c r="A13" s="1498"/>
      <c r="B13" s="199" t="s">
        <v>20</v>
      </c>
      <c r="C13" s="201" t="s">
        <v>480</v>
      </c>
      <c r="D13" s="1505"/>
      <c r="E13" s="948"/>
    </row>
    <row r="14" spans="1:5" ht="15" customHeight="1">
      <c r="A14" s="1498"/>
      <c r="B14" s="199" t="s">
        <v>22</v>
      </c>
      <c r="C14" s="201" t="s">
        <v>481</v>
      </c>
      <c r="D14" s="1505"/>
      <c r="E14" s="1022"/>
    </row>
    <row r="15" spans="1:5" ht="18" customHeight="1">
      <c r="A15" s="1498"/>
      <c r="B15" s="199" t="s">
        <v>23</v>
      </c>
      <c r="C15" s="200" t="s">
        <v>454</v>
      </c>
      <c r="D15" s="1505"/>
      <c r="E15" s="1022">
        <f>+F25_IOL!E15</f>
        <v>2.2234343851288245</v>
      </c>
    </row>
    <row r="16" spans="1:5" ht="14.25">
      <c r="A16" s="1498"/>
      <c r="B16" s="199" t="s">
        <v>24</v>
      </c>
      <c r="C16" s="200" t="s">
        <v>482</v>
      </c>
      <c r="D16" s="1505"/>
      <c r="E16" s="1022"/>
    </row>
    <row r="17" spans="1:5" ht="14.25">
      <c r="A17" s="1498"/>
      <c r="B17" s="199" t="s">
        <v>26</v>
      </c>
      <c r="C17" s="200" t="s">
        <v>483</v>
      </c>
      <c r="D17" s="1505"/>
      <c r="E17" s="1"/>
    </row>
    <row r="18" spans="1:5" ht="14.25">
      <c r="A18" s="1498"/>
      <c r="B18" s="199" t="s">
        <v>82</v>
      </c>
      <c r="C18" s="200" t="s">
        <v>455</v>
      </c>
      <c r="D18" s="1505"/>
      <c r="E18" s="1"/>
    </row>
    <row r="19" spans="1:5" ht="14.25">
      <c r="A19" s="1498"/>
      <c r="B19" s="199" t="s">
        <v>89</v>
      </c>
      <c r="C19" s="200" t="s">
        <v>456</v>
      </c>
      <c r="D19" s="1505"/>
      <c r="E19" s="1"/>
    </row>
    <row r="20" spans="1:5" ht="14.25">
      <c r="A20" s="1498"/>
      <c r="B20" s="1502" t="s">
        <v>457</v>
      </c>
      <c r="C20" s="1503"/>
      <c r="D20" s="1505"/>
      <c r="E20" s="1023">
        <f>SUM(E10:E19)</f>
        <v>3.8553127498599933</v>
      </c>
    </row>
    <row r="21" spans="1:5" ht="14.25">
      <c r="A21" s="1498"/>
      <c r="B21" s="1502" t="s">
        <v>458</v>
      </c>
      <c r="C21" s="1503"/>
      <c r="D21" s="1505"/>
      <c r="E21" s="1023">
        <f>E8+E20</f>
        <v>5.7357624313801354</v>
      </c>
    </row>
    <row r="22" spans="1:5" ht="14.25">
      <c r="A22" s="1498"/>
      <c r="B22" s="1500" t="s">
        <v>453</v>
      </c>
      <c r="C22" s="1501"/>
      <c r="D22" s="1505"/>
      <c r="E22" s="1"/>
    </row>
    <row r="23" spans="1:5" ht="18" customHeight="1">
      <c r="A23" s="1498"/>
      <c r="B23" s="199" t="s">
        <v>15</v>
      </c>
      <c r="C23" s="202" t="s">
        <v>459</v>
      </c>
      <c r="D23" s="1505"/>
      <c r="E23" s="948">
        <f>-'BS2'!D26</f>
        <v>0</v>
      </c>
    </row>
    <row r="24" spans="1:5" ht="14.25">
      <c r="A24" s="1498"/>
      <c r="B24" s="199" t="s">
        <v>16</v>
      </c>
      <c r="C24" s="200" t="s">
        <v>460</v>
      </c>
      <c r="D24" s="1505"/>
      <c r="E24" s="948">
        <f>-'BS2'!D29</f>
        <v>-2.7772032000000006</v>
      </c>
    </row>
    <row r="25" spans="1:5" ht="14.25">
      <c r="A25" s="1498"/>
      <c r="B25" s="199" t="s">
        <v>17</v>
      </c>
      <c r="C25" s="200" t="s">
        <v>141</v>
      </c>
      <c r="D25" s="1505"/>
      <c r="E25" s="948">
        <f>-'BS2'!D35</f>
        <v>-1.8701436660000001</v>
      </c>
    </row>
    <row r="26" spans="1:5" ht="14.25">
      <c r="A26" s="1498"/>
      <c r="B26" s="199" t="s">
        <v>20</v>
      </c>
      <c r="C26" s="200" t="s">
        <v>484</v>
      </c>
      <c r="D26" s="1505"/>
      <c r="E26" s="1022">
        <f>-'BS2'!D22</f>
        <v>-1.2435E-3</v>
      </c>
    </row>
    <row r="27" spans="1:5" ht="14.25">
      <c r="A27" s="1498"/>
      <c r="B27" s="199" t="s">
        <v>22</v>
      </c>
      <c r="C27" s="200" t="s">
        <v>461</v>
      </c>
      <c r="D27" s="1505"/>
      <c r="E27" s="1022"/>
    </row>
    <row r="28" spans="1:5" ht="14.25">
      <c r="A28" s="1498"/>
      <c r="B28" s="199" t="s">
        <v>23</v>
      </c>
      <c r="C28" s="200" t="s">
        <v>462</v>
      </c>
      <c r="D28" s="1505"/>
      <c r="E28" s="1022"/>
    </row>
    <row r="29" spans="1:5" ht="14.25">
      <c r="A29" s="1498"/>
      <c r="B29" s="199" t="s">
        <v>24</v>
      </c>
      <c r="C29" s="200" t="s">
        <v>485</v>
      </c>
      <c r="D29" s="1505"/>
      <c r="E29" s="1"/>
    </row>
    <row r="30" spans="1:5" ht="14.25">
      <c r="A30" s="1498"/>
      <c r="B30" s="199" t="s">
        <v>26</v>
      </c>
      <c r="C30" s="200" t="s">
        <v>475</v>
      </c>
      <c r="D30" s="1505"/>
      <c r="E30" s="1022">
        <f>+'BS2'!D61+'BS2'!D62</f>
        <v>0.44845615400000022</v>
      </c>
    </row>
    <row r="31" spans="1:5" ht="14.25">
      <c r="A31" s="1498"/>
      <c r="B31" s="199" t="s">
        <v>82</v>
      </c>
      <c r="C31" s="200" t="s">
        <v>476</v>
      </c>
      <c r="D31" s="1505"/>
      <c r="E31" s="362">
        <f>+'BS2'!D60</f>
        <v>0</v>
      </c>
    </row>
    <row r="32" spans="1:5" ht="14.25">
      <c r="A32" s="1498"/>
      <c r="B32" s="199" t="s">
        <v>89</v>
      </c>
      <c r="C32" s="200" t="s">
        <v>463</v>
      </c>
      <c r="D32" s="1505"/>
      <c r="E32" s="362">
        <f>+'BS2'!D58</f>
        <v>2.1839170287911434</v>
      </c>
    </row>
    <row r="33" spans="1:5" ht="14.25">
      <c r="A33" s="1498"/>
      <c r="B33" s="199" t="s">
        <v>487</v>
      </c>
      <c r="C33" s="200" t="s">
        <v>464</v>
      </c>
      <c r="D33" s="1505"/>
      <c r="E33" s="1022">
        <f>+'BS2'!D59</f>
        <v>6.4684535999999992</v>
      </c>
    </row>
    <row r="34" spans="1:5" ht="14.25">
      <c r="A34" s="1498"/>
      <c r="B34" s="203" t="s">
        <v>488</v>
      </c>
      <c r="C34" s="204" t="s">
        <v>486</v>
      </c>
      <c r="D34" s="1505"/>
      <c r="E34" s="948">
        <f>+'BS1'!D23</f>
        <v>-4.0627430066237711</v>
      </c>
    </row>
    <row r="35" spans="1:5" ht="14.25">
      <c r="A35" s="1498"/>
      <c r="B35" s="1502" t="s">
        <v>489</v>
      </c>
      <c r="C35" s="1503"/>
      <c r="D35" s="1505"/>
      <c r="E35" s="1023">
        <f>SUM(E23:E34)</f>
        <v>0.38949341016737016</v>
      </c>
    </row>
    <row r="36" spans="1:5" ht="14.25">
      <c r="A36" s="1498"/>
      <c r="B36" s="1502" t="s">
        <v>490</v>
      </c>
      <c r="C36" s="1503"/>
      <c r="D36" s="1505"/>
      <c r="E36" s="1"/>
    </row>
    <row r="37" spans="1:5" ht="14.25">
      <c r="A37" s="1499"/>
      <c r="B37" s="1502" t="s">
        <v>498</v>
      </c>
      <c r="C37" s="1503"/>
      <c r="D37" s="1505"/>
      <c r="E37" s="1023">
        <f>E21+E35</f>
        <v>6.1252558415475056</v>
      </c>
    </row>
    <row r="38" spans="1:5" ht="14.25">
      <c r="A38" s="1497" t="s">
        <v>33</v>
      </c>
      <c r="B38" s="1512" t="s">
        <v>499</v>
      </c>
      <c r="C38" s="1513"/>
      <c r="D38" s="1505"/>
      <c r="E38" s="1"/>
    </row>
    <row r="39" spans="1:5" ht="15" customHeight="1">
      <c r="A39" s="1498"/>
      <c r="B39" s="199" t="s">
        <v>15</v>
      </c>
      <c r="C39" s="202" t="s">
        <v>491</v>
      </c>
      <c r="D39" s="1505"/>
      <c r="E39" s="948">
        <f>-F24_Dep!C47</f>
        <v>-72.845440307848477</v>
      </c>
    </row>
    <row r="40" spans="1:5" ht="14.25">
      <c r="A40" s="1498"/>
      <c r="B40" s="199" t="s">
        <v>16</v>
      </c>
      <c r="C40" s="202" t="s">
        <v>492</v>
      </c>
      <c r="D40" s="1505"/>
      <c r="E40" s="948">
        <f>-'BS2'!D10</f>
        <v>-16.325976505151516</v>
      </c>
    </row>
    <row r="41" spans="1:5" ht="14.25">
      <c r="A41" s="1498"/>
      <c r="B41" s="199" t="s">
        <v>17</v>
      </c>
      <c r="C41" s="200" t="s">
        <v>493</v>
      </c>
      <c r="D41" s="1505"/>
      <c r="E41" s="948"/>
    </row>
    <row r="42" spans="1:5" ht="14.25">
      <c r="A42" s="1498"/>
      <c r="B42" s="199" t="s">
        <v>20</v>
      </c>
      <c r="C42" s="200" t="s">
        <v>494</v>
      </c>
      <c r="D42" s="1505"/>
      <c r="E42" s="948"/>
    </row>
    <row r="43" spans="1:5" ht="15.75" customHeight="1">
      <c r="A43" s="1498"/>
      <c r="B43" s="199" t="s">
        <v>22</v>
      </c>
      <c r="C43" s="200" t="s">
        <v>495</v>
      </c>
      <c r="D43" s="1505"/>
      <c r="E43" s="948"/>
    </row>
    <row r="44" spans="1:5" ht="18" customHeight="1">
      <c r="A44" s="1498"/>
      <c r="B44" s="199" t="s">
        <v>23</v>
      </c>
      <c r="C44" s="200" t="s">
        <v>496</v>
      </c>
      <c r="D44" s="1505"/>
      <c r="E44" s="948"/>
    </row>
    <row r="45" spans="1:5" ht="14.25">
      <c r="A45" s="1498"/>
      <c r="B45" s="199" t="s">
        <v>24</v>
      </c>
      <c r="C45" s="200" t="s">
        <v>497</v>
      </c>
      <c r="D45" s="1505"/>
      <c r="E45" s="948"/>
    </row>
    <row r="46" spans="1:5" ht="14.25">
      <c r="A46" s="1499"/>
      <c r="B46" s="1502" t="s">
        <v>500</v>
      </c>
      <c r="C46" s="1503"/>
      <c r="D46" s="1505"/>
      <c r="E46" s="1024">
        <f>SUM(E39:E45)</f>
        <v>-89.171416812999993</v>
      </c>
    </row>
    <row r="47" spans="1:5" ht="14.25">
      <c r="A47" s="1497" t="s">
        <v>39</v>
      </c>
      <c r="B47" s="1502" t="s">
        <v>465</v>
      </c>
      <c r="C47" s="1503"/>
      <c r="D47" s="1505"/>
      <c r="E47" s="1"/>
    </row>
    <row r="48" spans="1:5" ht="18" customHeight="1">
      <c r="A48" s="1498"/>
      <c r="B48" s="1509" t="s">
        <v>15</v>
      </c>
      <c r="C48" s="200" t="s">
        <v>466</v>
      </c>
      <c r="D48" s="1505"/>
      <c r="E48" s="1"/>
    </row>
    <row r="49" spans="1:5" ht="18" customHeight="1">
      <c r="A49" s="1498"/>
      <c r="B49" s="1510"/>
      <c r="C49" s="200" t="s">
        <v>467</v>
      </c>
      <c r="D49" s="1505"/>
      <c r="E49" s="948">
        <f>+F25_IOL!E10</f>
        <v>25.848436115493932</v>
      </c>
    </row>
    <row r="50" spans="1:5" ht="18" customHeight="1">
      <c r="A50" s="1498"/>
      <c r="B50" s="1511"/>
      <c r="C50" s="200" t="s">
        <v>468</v>
      </c>
      <c r="D50" s="1505"/>
      <c r="E50" s="948">
        <f>-F25_IOL!E11</f>
        <v>-1.631878364731169</v>
      </c>
    </row>
    <row r="51" spans="1:5" ht="18" customHeight="1">
      <c r="A51" s="1498"/>
      <c r="B51" s="199" t="s">
        <v>16</v>
      </c>
      <c r="C51" s="200" t="s">
        <v>469</v>
      </c>
      <c r="D51" s="1505"/>
      <c r="E51" s="948">
        <f>+F26_ROE!H9</f>
        <v>11.077901192354544</v>
      </c>
    </row>
    <row r="52" spans="1:5" ht="14.25">
      <c r="A52" s="1498"/>
      <c r="B52" s="199" t="s">
        <v>17</v>
      </c>
      <c r="C52" s="200" t="s">
        <v>470</v>
      </c>
      <c r="D52" s="1505"/>
      <c r="E52" s="948"/>
    </row>
    <row r="53" spans="1:5" ht="32.25" customHeight="1">
      <c r="A53" s="1498"/>
      <c r="B53" s="199" t="s">
        <v>20</v>
      </c>
      <c r="C53" s="202" t="s">
        <v>471</v>
      </c>
      <c r="D53" s="1505"/>
      <c r="E53" s="944">
        <f>+F24_Dep!C50</f>
        <v>35.919103</v>
      </c>
    </row>
    <row r="54" spans="1:5" ht="18" customHeight="1">
      <c r="A54" s="1498"/>
      <c r="B54" s="199" t="s">
        <v>22</v>
      </c>
      <c r="C54" s="202" t="s">
        <v>472</v>
      </c>
      <c r="D54" s="1505"/>
      <c r="E54" s="948">
        <f>+'BS2'!D55+'BS2'!D51</f>
        <v>19.952976505151515</v>
      </c>
    </row>
    <row r="55" spans="1:5" ht="18" customHeight="1">
      <c r="A55" s="1498"/>
      <c r="B55" s="199" t="s">
        <v>23</v>
      </c>
      <c r="C55" s="202" t="s">
        <v>454</v>
      </c>
      <c r="D55" s="1505"/>
      <c r="E55" s="948">
        <f>-E15</f>
        <v>-2.2234343851288245</v>
      </c>
    </row>
    <row r="56" spans="1:5" ht="14.25">
      <c r="A56" s="1498"/>
      <c r="B56" s="205" t="s">
        <v>24</v>
      </c>
      <c r="C56" s="202" t="s">
        <v>473</v>
      </c>
      <c r="D56" s="1505"/>
      <c r="E56" s="948"/>
    </row>
    <row r="57" spans="1:5" ht="14.25">
      <c r="A57" s="1498"/>
      <c r="B57" s="205" t="s">
        <v>26</v>
      </c>
      <c r="C57" s="202" t="s">
        <v>501</v>
      </c>
      <c r="D57" s="1505"/>
      <c r="E57" s="948"/>
    </row>
    <row r="58" spans="1:5" ht="14.25">
      <c r="A58" s="1498"/>
      <c r="B58" s="205" t="s">
        <v>82</v>
      </c>
      <c r="C58" s="202" t="s">
        <v>502</v>
      </c>
      <c r="D58" s="1505"/>
      <c r="E58" s="948"/>
    </row>
    <row r="59" spans="1:5" ht="14.25">
      <c r="A59" s="1499"/>
      <c r="B59" s="1502" t="s">
        <v>503</v>
      </c>
      <c r="C59" s="1503"/>
      <c r="D59" s="1505"/>
      <c r="E59" s="1026">
        <f>SUM(E48:E58)</f>
        <v>88.943104063139984</v>
      </c>
    </row>
    <row r="60" spans="1:5" ht="29.25" customHeight="1">
      <c r="A60" s="1502" t="s">
        <v>474</v>
      </c>
      <c r="B60" s="1508"/>
      <c r="C60" s="1503"/>
      <c r="D60" s="1505"/>
      <c r="E60" s="1025">
        <f>E59+E46+E37</f>
        <v>5.8969430916874961</v>
      </c>
    </row>
    <row r="61" spans="1:5" ht="27.75" customHeight="1">
      <c r="A61" s="1502" t="s">
        <v>504</v>
      </c>
      <c r="B61" s="1508"/>
      <c r="C61" s="1503"/>
      <c r="D61" s="1505"/>
      <c r="E61" s="943">
        <v>0</v>
      </c>
    </row>
    <row r="62" spans="1:5" ht="27.75" customHeight="1">
      <c r="A62" s="1502" t="s">
        <v>505</v>
      </c>
      <c r="B62" s="1508"/>
      <c r="C62" s="1503"/>
      <c r="D62" s="1506"/>
      <c r="E62" s="1025">
        <f>E60+E61</f>
        <v>5.8969430916874961</v>
      </c>
    </row>
    <row r="63" spans="1:5" ht="18" customHeight="1">
      <c r="A63" s="45" t="s">
        <v>75</v>
      </c>
      <c r="B63" s="45" t="s">
        <v>508</v>
      </c>
      <c r="D63" s="499"/>
      <c r="E63" s="499"/>
    </row>
  </sheetData>
  <mergeCells count="25">
    <mergeCell ref="D8:D62"/>
    <mergeCell ref="A1:C1"/>
    <mergeCell ref="A62:C62"/>
    <mergeCell ref="A47:A59"/>
    <mergeCell ref="B47:C47"/>
    <mergeCell ref="B48:B50"/>
    <mergeCell ref="B59:C59"/>
    <mergeCell ref="A60:C60"/>
    <mergeCell ref="A38:A46"/>
    <mergeCell ref="B38:C38"/>
    <mergeCell ref="B46:C46"/>
    <mergeCell ref="B36:C36"/>
    <mergeCell ref="A61:C61"/>
    <mergeCell ref="A2:D2"/>
    <mergeCell ref="C5:C6"/>
    <mergeCell ref="A5:B6"/>
    <mergeCell ref="A7:A37"/>
    <mergeCell ref="B22:C22"/>
    <mergeCell ref="B35:C35"/>
    <mergeCell ref="B37:C37"/>
    <mergeCell ref="B7:C7"/>
    <mergeCell ref="B8:C8"/>
    <mergeCell ref="B9:C9"/>
    <mergeCell ref="B20:C20"/>
    <mergeCell ref="B21:C21"/>
  </mergeCells>
  <printOptions horizontalCentered="1"/>
  <pageMargins left="0.51181102362204722" right="0.51181102362204722" top="0.51181102362204722" bottom="0.51181102362204722" header="0.31496062992125984" footer="0.31496062992125984"/>
  <pageSetup paperSize="5" scale="98" fitToHeight="2"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F061D-0228-48DA-92DA-83EFC19DBC4E}">
  <sheetPr>
    <tabColor rgb="FF00FFFF"/>
  </sheetPr>
  <dimension ref="A1:Q24"/>
  <sheetViews>
    <sheetView view="pageBreakPreview" zoomScale="60" zoomScaleNormal="100" workbookViewId="0">
      <selection activeCell="M22" sqref="M22"/>
    </sheetView>
  </sheetViews>
  <sheetFormatPr defaultRowHeight="15.75"/>
  <cols>
    <col min="1" max="1" width="9.06640625" style="1072"/>
    <col min="2" max="2" width="66.6640625" style="1072" customWidth="1"/>
    <col min="3" max="3" width="12.06640625" style="1072" bestFit="1" customWidth="1"/>
    <col min="4" max="4" width="11.19921875" style="1072" bestFit="1" customWidth="1"/>
    <col min="5" max="14" width="10.33203125" style="1072" customWidth="1"/>
    <col min="15" max="16" width="9.06640625" style="1072"/>
    <col min="17" max="17" width="10.1328125" style="1072" bestFit="1" customWidth="1"/>
    <col min="18" max="16384" width="9.06640625" style="1072"/>
  </cols>
  <sheetData>
    <row r="1" spans="1:17" s="1263" customFormat="1" ht="23.35" customHeight="1">
      <c r="A1" s="2080" t="s">
        <v>1829</v>
      </c>
      <c r="B1" s="2080"/>
    </row>
    <row r="2" spans="1:17" s="1263" customFormat="1" ht="23.35" customHeight="1">
      <c r="A2" s="1820" t="str">
        <f>+'BS1'!A2</f>
        <v>NIDP DEVELOPERS PRIVATE LIMITED</v>
      </c>
      <c r="B2" s="1820"/>
      <c r="C2" s="1820"/>
      <c r="D2" s="1820"/>
    </row>
    <row r="3" spans="1:17" s="1263" customFormat="1" ht="23.35" customHeight="1">
      <c r="A3" s="2093" t="s">
        <v>1828</v>
      </c>
      <c r="B3" s="2093"/>
      <c r="C3" s="2093"/>
      <c r="D3" s="2093"/>
      <c r="E3" s="2093"/>
      <c r="F3" s="2093"/>
      <c r="G3" s="2093"/>
      <c r="H3" s="2093"/>
      <c r="I3" s="2093"/>
      <c r="J3" s="2093"/>
      <c r="K3" s="2093"/>
      <c r="L3" s="2093"/>
      <c r="M3" s="2093"/>
      <c r="N3" s="2093"/>
      <c r="O3" s="2093"/>
    </row>
    <row r="4" spans="1:17" s="1263" customFormat="1" ht="23.35" customHeight="1">
      <c r="A4" s="1264"/>
      <c r="B4" s="1265" t="s">
        <v>10</v>
      </c>
      <c r="C4" s="1266">
        <v>45383</v>
      </c>
      <c r="D4" s="1266">
        <v>45413</v>
      </c>
      <c r="E4" s="1266">
        <v>45444</v>
      </c>
      <c r="F4" s="1266">
        <v>45474</v>
      </c>
      <c r="G4" s="1266">
        <v>45505</v>
      </c>
      <c r="H4" s="1266">
        <v>45536</v>
      </c>
      <c r="I4" s="1266">
        <v>45566</v>
      </c>
      <c r="J4" s="1266">
        <v>45597</v>
      </c>
      <c r="K4" s="1266">
        <v>45627</v>
      </c>
      <c r="L4" s="1266">
        <v>45658</v>
      </c>
      <c r="M4" s="1266">
        <v>45689</v>
      </c>
      <c r="N4" s="1266">
        <v>45717</v>
      </c>
      <c r="O4" s="1093" t="s">
        <v>18</v>
      </c>
    </row>
    <row r="5" spans="1:17" ht="23.35" customHeight="1">
      <c r="B5" s="1267" t="s">
        <v>1735</v>
      </c>
      <c r="C5" s="1267"/>
      <c r="D5" s="1268">
        <f>+C8</f>
        <v>1.575</v>
      </c>
      <c r="E5" s="1268">
        <f t="shared" ref="E5:N5" si="0">+D8</f>
        <v>1.575</v>
      </c>
      <c r="F5" s="1268">
        <f t="shared" si="0"/>
        <v>1.575</v>
      </c>
      <c r="G5" s="1268">
        <f t="shared" si="0"/>
        <v>1.575</v>
      </c>
      <c r="H5" s="1268">
        <f t="shared" si="0"/>
        <v>3.6269999999999998</v>
      </c>
      <c r="I5" s="1268">
        <f t="shared" si="0"/>
        <v>3.6269999999999998</v>
      </c>
      <c r="J5" s="1268">
        <f t="shared" si="0"/>
        <v>3.6269999999999998</v>
      </c>
      <c r="K5" s="1268">
        <f t="shared" si="0"/>
        <v>3.6269999999999998</v>
      </c>
      <c r="L5" s="1268">
        <f t="shared" si="0"/>
        <v>3.6269999999999998</v>
      </c>
      <c r="M5" s="1268">
        <f t="shared" si="0"/>
        <v>3.6269999999999998</v>
      </c>
      <c r="N5" s="1268">
        <f t="shared" si="0"/>
        <v>3.6269999999999998</v>
      </c>
      <c r="O5" s="1269">
        <f>+C5</f>
        <v>0</v>
      </c>
    </row>
    <row r="6" spans="1:17" ht="23.35" customHeight="1">
      <c r="B6" s="1267" t="s">
        <v>1736</v>
      </c>
      <c r="C6" s="1270">
        <f>15750000/10^7</f>
        <v>1.575</v>
      </c>
      <c r="D6" s="1088"/>
      <c r="E6" s="1088"/>
      <c r="F6" s="1088"/>
      <c r="G6" s="1271">
        <f>+H24-C6</f>
        <v>2.0519999999999996</v>
      </c>
      <c r="H6" s="1088"/>
      <c r="I6" s="1088"/>
      <c r="J6" s="1088"/>
      <c r="K6" s="1088"/>
      <c r="L6" s="1088"/>
      <c r="M6" s="1088"/>
      <c r="N6" s="1088"/>
      <c r="O6" s="1269">
        <f>SUM(C6:N6)</f>
        <v>3.6269999999999998</v>
      </c>
    </row>
    <row r="7" spans="1:17" ht="23.35" customHeight="1">
      <c r="B7" s="1267" t="s">
        <v>1737</v>
      </c>
      <c r="C7" s="1267"/>
      <c r="D7" s="1088"/>
      <c r="E7" s="1088"/>
      <c r="F7" s="1088"/>
      <c r="G7" s="1088"/>
      <c r="H7" s="1088"/>
      <c r="I7" s="1088"/>
      <c r="J7" s="1088"/>
      <c r="K7" s="1088"/>
      <c r="L7" s="1088"/>
      <c r="M7" s="1088"/>
      <c r="N7" s="1088"/>
      <c r="O7" s="1269">
        <f>SUM(C7:N7)</f>
        <v>0</v>
      </c>
    </row>
    <row r="8" spans="1:17" ht="23.35" customHeight="1">
      <c r="B8" s="1267" t="s">
        <v>1738</v>
      </c>
      <c r="C8" s="1272">
        <f>+C6</f>
        <v>1.575</v>
      </c>
      <c r="D8" s="1272">
        <f t="shared" ref="D8:O8" si="1">+D5+D6-D7</f>
        <v>1.575</v>
      </c>
      <c r="E8" s="1272">
        <f t="shared" si="1"/>
        <v>1.575</v>
      </c>
      <c r="F8" s="1272">
        <f t="shared" si="1"/>
        <v>1.575</v>
      </c>
      <c r="G8" s="1272">
        <f t="shared" si="1"/>
        <v>3.6269999999999998</v>
      </c>
      <c r="H8" s="1272">
        <f t="shared" si="1"/>
        <v>3.6269999999999998</v>
      </c>
      <c r="I8" s="1272">
        <f t="shared" si="1"/>
        <v>3.6269999999999998</v>
      </c>
      <c r="J8" s="1272">
        <f t="shared" si="1"/>
        <v>3.6269999999999998</v>
      </c>
      <c r="K8" s="1272">
        <f t="shared" si="1"/>
        <v>3.6269999999999998</v>
      </c>
      <c r="L8" s="1272">
        <f t="shared" si="1"/>
        <v>3.6269999999999998</v>
      </c>
      <c r="M8" s="1272">
        <f t="shared" si="1"/>
        <v>3.6269999999999998</v>
      </c>
      <c r="N8" s="1272">
        <f t="shared" si="1"/>
        <v>3.6269999999999998</v>
      </c>
      <c r="O8" s="1273">
        <f t="shared" si="1"/>
        <v>3.6269999999999998</v>
      </c>
    </row>
    <row r="9" spans="1:17" ht="23.35" customHeight="1">
      <c r="B9" s="1267" t="s">
        <v>1739</v>
      </c>
      <c r="C9" s="1274">
        <v>6.7500000000000004E-2</v>
      </c>
      <c r="D9" s="1274">
        <v>6.7500000000000004E-2</v>
      </c>
      <c r="E9" s="1274">
        <v>6.7500000000000004E-2</v>
      </c>
      <c r="F9" s="1274">
        <v>6.7500000000000004E-2</v>
      </c>
      <c r="G9" s="1274">
        <v>6.7500000000000004E-2</v>
      </c>
      <c r="H9" s="1274">
        <v>6.7500000000000004E-2</v>
      </c>
      <c r="I9" s="1274">
        <v>6.7500000000000004E-2</v>
      </c>
      <c r="J9" s="1274">
        <v>6.7500000000000004E-2</v>
      </c>
      <c r="K9" s="1274">
        <v>6.7500000000000004E-2</v>
      </c>
      <c r="L9" s="1274">
        <v>6.7500000000000004E-2</v>
      </c>
      <c r="M9" s="1274">
        <v>6.7500000000000004E-2</v>
      </c>
      <c r="N9" s="1274">
        <v>6.7500000000000004E-2</v>
      </c>
      <c r="O9" s="1088"/>
    </row>
    <row r="10" spans="1:17" ht="23.35" customHeight="1">
      <c r="B10" s="1275" t="s">
        <v>1740</v>
      </c>
      <c r="C10" s="1276">
        <f>+C6*C13*C9/365</f>
        <v>7.2816780821917818E-3</v>
      </c>
      <c r="D10" s="1276">
        <f>+D5*D13*D9/365</f>
        <v>9.0292808219178088E-3</v>
      </c>
      <c r="E10" s="1276">
        <f>+E5*E13*E9/365</f>
        <v>8.7380136986301375E-3</v>
      </c>
      <c r="F10" s="1276">
        <f>+F5*F13*F9/365</f>
        <v>9.0292808219178088E-3</v>
      </c>
      <c r="G10" s="1276">
        <f>+G5*G13*G9/365+G6*G9*G14/365</f>
        <v>1.8136787671232876E-2</v>
      </c>
      <c r="H10" s="1276">
        <f>+H5*H13*H9/365</f>
        <v>2.0122397260273973E-2</v>
      </c>
      <c r="I10" s="1276">
        <f t="shared" ref="I10:N10" si="2">+I5*I13*I9/365</f>
        <v>2.0793143835616441E-2</v>
      </c>
      <c r="J10" s="1276">
        <f t="shared" si="2"/>
        <v>2.0122397260273973E-2</v>
      </c>
      <c r="K10" s="1276">
        <f t="shared" si="2"/>
        <v>2.0793143835616441E-2</v>
      </c>
      <c r="L10" s="1276">
        <f t="shared" si="2"/>
        <v>2.0793143835616441E-2</v>
      </c>
      <c r="M10" s="1276">
        <f t="shared" si="2"/>
        <v>1.878090410958904E-2</v>
      </c>
      <c r="N10" s="1276">
        <f t="shared" si="2"/>
        <v>2.0793143835616441E-2</v>
      </c>
      <c r="O10" s="1269">
        <f>SUM(C10:N10)</f>
        <v>0.19441331506849319</v>
      </c>
    </row>
    <row r="11" spans="1:17" ht="23.35" customHeight="1">
      <c r="B11" s="1275" t="s">
        <v>1741</v>
      </c>
      <c r="C11" s="1275"/>
      <c r="D11" s="1088"/>
      <c r="E11" s="1088"/>
      <c r="F11" s="1088"/>
      <c r="G11" s="1088"/>
      <c r="H11" s="1088"/>
      <c r="I11" s="1088"/>
      <c r="J11" s="1088"/>
      <c r="K11" s="1088"/>
      <c r="L11" s="1088"/>
      <c r="M11" s="1088"/>
      <c r="N11" s="1088"/>
      <c r="O11" s="1088"/>
    </row>
    <row r="12" spans="1:17" ht="23.35" customHeight="1">
      <c r="B12" s="1092" t="s">
        <v>1742</v>
      </c>
      <c r="C12" s="1277">
        <f>+C10-C11</f>
        <v>7.2816780821917818E-3</v>
      </c>
      <c r="D12" s="1277">
        <f t="shared" ref="D12:O12" si="3">+D10-D11</f>
        <v>9.0292808219178088E-3</v>
      </c>
      <c r="E12" s="1277">
        <f t="shared" si="3"/>
        <v>8.7380136986301375E-3</v>
      </c>
      <c r="F12" s="1277">
        <f t="shared" si="3"/>
        <v>9.0292808219178088E-3</v>
      </c>
      <c r="G12" s="1277">
        <f t="shared" si="3"/>
        <v>1.8136787671232876E-2</v>
      </c>
      <c r="H12" s="1277">
        <f t="shared" si="3"/>
        <v>2.0122397260273973E-2</v>
      </c>
      <c r="I12" s="1277">
        <f t="shared" si="3"/>
        <v>2.0793143835616441E-2</v>
      </c>
      <c r="J12" s="1277">
        <f t="shared" si="3"/>
        <v>2.0122397260273973E-2</v>
      </c>
      <c r="K12" s="1277">
        <f t="shared" si="3"/>
        <v>2.0793143835616441E-2</v>
      </c>
      <c r="L12" s="1277">
        <f t="shared" si="3"/>
        <v>2.0793143835616441E-2</v>
      </c>
      <c r="M12" s="1277">
        <f t="shared" si="3"/>
        <v>1.878090410958904E-2</v>
      </c>
      <c r="N12" s="1277">
        <f t="shared" si="3"/>
        <v>2.0793143835616441E-2</v>
      </c>
      <c r="O12" s="1277">
        <f t="shared" si="3"/>
        <v>0.19441331506849319</v>
      </c>
      <c r="P12" s="1278"/>
      <c r="Q12" s="1279">
        <f>+O12*100</f>
        <v>19.44133150684932</v>
      </c>
    </row>
    <row r="13" spans="1:17">
      <c r="C13" s="1280">
        <f>30-6+1</f>
        <v>25</v>
      </c>
      <c r="D13" s="1281">
        <v>31</v>
      </c>
      <c r="E13" s="1281">
        <v>30</v>
      </c>
      <c r="F13" s="1072">
        <v>31</v>
      </c>
      <c r="G13" s="1072">
        <v>31</v>
      </c>
      <c r="H13" s="1072">
        <v>30</v>
      </c>
      <c r="I13" s="1072">
        <v>31</v>
      </c>
      <c r="J13" s="1072">
        <v>30</v>
      </c>
      <c r="K13" s="1072">
        <v>31</v>
      </c>
      <c r="L13" s="1072">
        <v>31</v>
      </c>
      <c r="M13" s="1072">
        <v>28</v>
      </c>
      <c r="N13" s="1072">
        <v>31</v>
      </c>
    </row>
    <row r="14" spans="1:17">
      <c r="G14" s="1072">
        <f>31-8+1</f>
        <v>24</v>
      </c>
    </row>
    <row r="15" spans="1:17" ht="45">
      <c r="A15" s="1282" t="s">
        <v>2173</v>
      </c>
      <c r="B15" s="1282" t="s">
        <v>2172</v>
      </c>
      <c r="C15" s="1282" t="s">
        <v>2174</v>
      </c>
      <c r="D15" s="1282" t="s">
        <v>1566</v>
      </c>
      <c r="E15" s="1282" t="s">
        <v>2175</v>
      </c>
      <c r="F15" s="1282" t="s">
        <v>2176</v>
      </c>
      <c r="G15" s="1282" t="s">
        <v>1456</v>
      </c>
      <c r="H15" s="1282" t="s">
        <v>2177</v>
      </c>
      <c r="I15" s="1282" t="s">
        <v>2101</v>
      </c>
      <c r="J15" s="1282" t="s">
        <v>2178</v>
      </c>
      <c r="K15" s="1282" t="s">
        <v>2179</v>
      </c>
    </row>
    <row r="16" spans="1:17" ht="20.75" customHeight="1">
      <c r="A16" s="2092">
        <v>1</v>
      </c>
      <c r="B16" s="1088" t="s">
        <v>2180</v>
      </c>
      <c r="C16" s="1283">
        <v>45388</v>
      </c>
      <c r="D16" s="1284">
        <v>45511</v>
      </c>
      <c r="E16" s="1285">
        <f>10125000/10^7</f>
        <v>1.0125</v>
      </c>
      <c r="F16" s="1286" t="s">
        <v>2181</v>
      </c>
      <c r="G16" s="1287" t="s">
        <v>2182</v>
      </c>
      <c r="H16" s="1288">
        <f>+E16</f>
        <v>1.0125</v>
      </c>
      <c r="I16" s="1088">
        <f t="shared" ref="I16:I23" si="4">D16-C16+1</f>
        <v>124</v>
      </c>
      <c r="J16" s="1289">
        <v>6.7500000000000004E-2</v>
      </c>
      <c r="K16" s="1269">
        <f>H16*I16*J16/365</f>
        <v>2.3218150684931507E-2</v>
      </c>
    </row>
    <row r="17" spans="1:12" ht="20.75" customHeight="1">
      <c r="A17" s="2092"/>
      <c r="B17" s="1088" t="s">
        <v>2183</v>
      </c>
      <c r="C17" s="1283">
        <v>45512</v>
      </c>
      <c r="D17" s="1284">
        <v>45747</v>
      </c>
      <c r="E17" s="1285">
        <f>6075000/10^7</f>
        <v>0.60750000000000004</v>
      </c>
      <c r="F17" s="1286"/>
      <c r="G17" s="1287"/>
      <c r="H17" s="1290">
        <f>H16+E17</f>
        <v>1.62</v>
      </c>
      <c r="I17" s="1088">
        <f t="shared" si="4"/>
        <v>236</v>
      </c>
      <c r="J17" s="1289">
        <v>6.7500000000000004E-2</v>
      </c>
      <c r="K17" s="1269">
        <f t="shared" ref="K17:K23" si="5">H17*I17*J17/365</f>
        <v>7.0703013698630149E-2</v>
      </c>
    </row>
    <row r="18" spans="1:12" ht="20.75" customHeight="1">
      <c r="A18" s="2092">
        <v>2</v>
      </c>
      <c r="B18" s="1088" t="s">
        <v>2180</v>
      </c>
      <c r="C18" s="1283">
        <v>45388</v>
      </c>
      <c r="D18" s="1284">
        <v>45511</v>
      </c>
      <c r="E18" s="1285">
        <f>1125000/10^7</f>
        <v>0.1125</v>
      </c>
      <c r="F18" s="1286" t="s">
        <v>2184</v>
      </c>
      <c r="G18" s="1287" t="s">
        <v>2182</v>
      </c>
      <c r="H18" s="1288">
        <f>+E18</f>
        <v>0.1125</v>
      </c>
      <c r="I18" s="1088">
        <f t="shared" si="4"/>
        <v>124</v>
      </c>
      <c r="J18" s="1289">
        <v>6.7500000000000004E-2</v>
      </c>
      <c r="K18" s="1269">
        <f t="shared" si="5"/>
        <v>2.5797945205479457E-3</v>
      </c>
    </row>
    <row r="19" spans="1:12" ht="20.75" customHeight="1">
      <c r="A19" s="2092"/>
      <c r="B19" s="1088" t="s">
        <v>2183</v>
      </c>
      <c r="C19" s="1283">
        <v>45512</v>
      </c>
      <c r="D19" s="1284">
        <v>45747</v>
      </c>
      <c r="E19" s="1285">
        <f>7875000/10^7</f>
        <v>0.78749999999999998</v>
      </c>
      <c r="F19" s="1286"/>
      <c r="G19" s="1287"/>
      <c r="H19" s="1290">
        <f>H18+E19</f>
        <v>0.9</v>
      </c>
      <c r="I19" s="1088">
        <f t="shared" si="4"/>
        <v>236</v>
      </c>
      <c r="J19" s="1289">
        <v>6.7500000000000004E-2</v>
      </c>
      <c r="K19" s="1269">
        <f t="shared" si="5"/>
        <v>3.9279452054794523E-2</v>
      </c>
    </row>
    <row r="20" spans="1:12" ht="20.75" customHeight="1">
      <c r="A20" s="2092">
        <v>3</v>
      </c>
      <c r="B20" s="1088" t="s">
        <v>2180</v>
      </c>
      <c r="C20" s="1283">
        <v>45388</v>
      </c>
      <c r="D20" s="1284">
        <v>45511</v>
      </c>
      <c r="E20" s="1285">
        <f>3150000/10^7</f>
        <v>0.315</v>
      </c>
      <c r="F20" s="1286" t="s">
        <v>2181</v>
      </c>
      <c r="G20" s="1287" t="s">
        <v>2182</v>
      </c>
      <c r="H20" s="1288">
        <f>+E20</f>
        <v>0.315</v>
      </c>
      <c r="I20" s="1088">
        <f t="shared" si="4"/>
        <v>124</v>
      </c>
      <c r="J20" s="1289">
        <v>6.7500000000000004E-2</v>
      </c>
      <c r="K20" s="1269">
        <f t="shared" si="5"/>
        <v>7.2234246575342467E-3</v>
      </c>
    </row>
    <row r="21" spans="1:12" ht="20.75" customHeight="1">
      <c r="A21" s="2092"/>
      <c r="B21" s="1088" t="s">
        <v>2183</v>
      </c>
      <c r="C21" s="1283">
        <v>45512</v>
      </c>
      <c r="D21" s="1284">
        <v>45747</v>
      </c>
      <c r="E21" s="1285">
        <f>6300000/10^7</f>
        <v>0.63</v>
      </c>
      <c r="F21" s="1286"/>
      <c r="G21" s="1287"/>
      <c r="H21" s="1290">
        <f>H20+E21</f>
        <v>0.94500000000000006</v>
      </c>
      <c r="I21" s="1088">
        <f t="shared" si="4"/>
        <v>236</v>
      </c>
      <c r="J21" s="1289">
        <v>6.7500000000000004E-2</v>
      </c>
      <c r="K21" s="1269">
        <f t="shared" si="5"/>
        <v>4.124342465753425E-2</v>
      </c>
    </row>
    <row r="22" spans="1:12" ht="20.75" customHeight="1">
      <c r="A22" s="2092">
        <v>4</v>
      </c>
      <c r="B22" s="1088" t="s">
        <v>2180</v>
      </c>
      <c r="C22" s="1283">
        <v>45388</v>
      </c>
      <c r="D22" s="1284">
        <v>45511</v>
      </c>
      <c r="E22" s="1285">
        <f>1350000/10^7</f>
        <v>0.13500000000000001</v>
      </c>
      <c r="F22" s="1286" t="s">
        <v>2181</v>
      </c>
      <c r="G22" s="1287" t="s">
        <v>2182</v>
      </c>
      <c r="H22" s="1288">
        <f>+E22</f>
        <v>0.13500000000000001</v>
      </c>
      <c r="I22" s="1088">
        <f t="shared" si="4"/>
        <v>124</v>
      </c>
      <c r="J22" s="1289">
        <v>6.7500000000000004E-2</v>
      </c>
      <c r="K22" s="1269">
        <f t="shared" si="5"/>
        <v>3.095753424657535E-3</v>
      </c>
    </row>
    <row r="23" spans="1:12" ht="20.75" customHeight="1">
      <c r="A23" s="2092"/>
      <c r="B23" s="1088" t="s">
        <v>2183</v>
      </c>
      <c r="C23" s="1283">
        <v>45512</v>
      </c>
      <c r="D23" s="1284">
        <v>45747</v>
      </c>
      <c r="E23" s="1285">
        <f>270000/10^7</f>
        <v>2.7E-2</v>
      </c>
      <c r="F23" s="1286"/>
      <c r="G23" s="1287"/>
      <c r="H23" s="1290">
        <f>H22+E23</f>
        <v>0.16200000000000001</v>
      </c>
      <c r="I23" s="1088">
        <f t="shared" si="4"/>
        <v>236</v>
      </c>
      <c r="J23" s="1289">
        <v>6.7500000000000004E-2</v>
      </c>
      <c r="K23" s="1269">
        <f t="shared" si="5"/>
        <v>7.0703013698630137E-3</v>
      </c>
    </row>
    <row r="24" spans="1:12" ht="20.75" customHeight="1">
      <c r="A24" s="1291"/>
      <c r="B24" s="1088"/>
      <c r="C24" s="1291"/>
      <c r="D24" s="1292" t="s">
        <v>18</v>
      </c>
      <c r="E24" s="1293">
        <f>SUM(E16:E23)</f>
        <v>3.6269999999999998</v>
      </c>
      <c r="F24" s="1294"/>
      <c r="G24" s="1292"/>
      <c r="H24" s="1293">
        <f>H17+H19+H21+H23</f>
        <v>3.6269999999999998</v>
      </c>
      <c r="I24" s="1292"/>
      <c r="J24" s="1292"/>
      <c r="K24" s="1293">
        <f t="shared" ref="K24" si="6">SUM(K16:K23)</f>
        <v>0.19441331506849319</v>
      </c>
      <c r="L24" s="1279">
        <f>+K24*100</f>
        <v>19.44133150684932</v>
      </c>
    </row>
  </sheetData>
  <mergeCells count="7">
    <mergeCell ref="A22:A23"/>
    <mergeCell ref="A18:A19"/>
    <mergeCell ref="A20:A21"/>
    <mergeCell ref="A1:B1"/>
    <mergeCell ref="A2:D2"/>
    <mergeCell ref="A3:O3"/>
    <mergeCell ref="A16:A17"/>
  </mergeCells>
  <printOptions horizontalCentered="1"/>
  <pageMargins left="0.70866141732283472" right="0.70866141732283472" top="0.74803149606299213" bottom="0.74803149606299213" header="0.31496062992125984" footer="0.31496062992125984"/>
  <pageSetup paperSize="5" scale="75" fitToHeight="0"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00FFFF"/>
  </sheetPr>
  <dimension ref="A1:I18"/>
  <sheetViews>
    <sheetView showGridLines="0" view="pageBreakPreview" zoomScale="98" zoomScaleNormal="100" zoomScaleSheetLayoutView="98" workbookViewId="0">
      <pane xSplit="2" ySplit="7" topLeftCell="C8" activePane="bottomRight" state="frozen"/>
      <selection activeCell="T96" sqref="T96"/>
      <selection pane="topRight" activeCell="T96" sqref="T96"/>
      <selection pane="bottomLeft" activeCell="T96" sqref="T96"/>
      <selection pane="bottomRight" activeCell="K5" sqref="K5"/>
    </sheetView>
  </sheetViews>
  <sheetFormatPr defaultColWidth="9.19921875" defaultRowHeight="14.25"/>
  <cols>
    <col min="1" max="1" width="7.46484375" customWidth="1"/>
    <col min="2" max="2" width="32.53125" customWidth="1"/>
    <col min="3" max="3" width="13.796875" customWidth="1"/>
    <col min="4" max="4" width="12.19921875" customWidth="1"/>
    <col min="5" max="5" width="10.53125" customWidth="1"/>
    <col min="6" max="6" width="11.6640625" customWidth="1"/>
    <col min="7" max="7" width="13.46484375" customWidth="1"/>
    <col min="8" max="8" width="23.1328125" customWidth="1"/>
    <col min="9" max="9" width="22.19921875" customWidth="1"/>
  </cols>
  <sheetData>
    <row r="1" spans="1:9">
      <c r="A1" s="2094" t="s">
        <v>1830</v>
      </c>
      <c r="B1" s="2094"/>
      <c r="C1" s="118"/>
      <c r="D1" s="118"/>
      <c r="E1" s="118"/>
      <c r="F1" s="118"/>
      <c r="G1" s="118"/>
      <c r="H1" s="118"/>
      <c r="I1" s="118"/>
    </row>
    <row r="2" spans="1:9">
      <c r="A2" s="1487" t="str">
        <f>+'BS1'!A2</f>
        <v>NIDP DEVELOPERS PRIVATE LIMITED</v>
      </c>
      <c r="B2" s="1487"/>
      <c r="C2" s="1487"/>
      <c r="D2" s="1487"/>
      <c r="E2" s="1487"/>
      <c r="F2" s="1487"/>
      <c r="G2" s="1487"/>
      <c r="H2" s="1487"/>
    </row>
    <row r="3" spans="1:9">
      <c r="A3" s="449" t="s">
        <v>2185</v>
      </c>
      <c r="B3" s="449"/>
      <c r="C3" s="449"/>
      <c r="D3" s="449"/>
      <c r="E3" s="449"/>
      <c r="F3" s="449"/>
      <c r="G3" s="449"/>
      <c r="H3" s="449"/>
      <c r="I3" s="449"/>
    </row>
    <row r="4" spans="1:9">
      <c r="A4" s="118"/>
      <c r="B4" s="119"/>
      <c r="C4" s="119"/>
      <c r="D4" s="119"/>
      <c r="E4" s="119"/>
      <c r="F4" s="119"/>
      <c r="G4" s="119"/>
      <c r="H4" s="119"/>
      <c r="I4" s="119"/>
    </row>
    <row r="5" spans="1:9" ht="30" customHeight="1">
      <c r="A5" s="2096" t="s">
        <v>74</v>
      </c>
      <c r="B5" s="2095" t="s">
        <v>144</v>
      </c>
      <c r="C5" s="2100" t="s">
        <v>1735</v>
      </c>
      <c r="D5" s="2100" t="s">
        <v>1743</v>
      </c>
      <c r="E5" s="2100" t="s">
        <v>1744</v>
      </c>
      <c r="F5" s="2100" t="s">
        <v>1738</v>
      </c>
      <c r="G5" s="2100" t="s">
        <v>1739</v>
      </c>
      <c r="H5" s="2100" t="s">
        <v>1740</v>
      </c>
      <c r="I5" s="2100" t="s">
        <v>1741</v>
      </c>
    </row>
    <row r="6" spans="1:9">
      <c r="A6" s="2096"/>
      <c r="B6" s="2095"/>
      <c r="C6" s="2101"/>
      <c r="D6" s="2101"/>
      <c r="E6" s="2101"/>
      <c r="F6" s="2101"/>
      <c r="G6" s="2101"/>
      <c r="H6" s="2101"/>
      <c r="I6" s="2101"/>
    </row>
    <row r="7" spans="1:9" ht="31.5" customHeight="1">
      <c r="A7" s="2096"/>
      <c r="B7" s="2095"/>
      <c r="C7" s="2102"/>
      <c r="D7" s="2102"/>
      <c r="E7" s="2102"/>
      <c r="F7" s="2102"/>
      <c r="G7" s="2102"/>
      <c r="H7" s="2102"/>
      <c r="I7" s="2102"/>
    </row>
    <row r="8" spans="1:9">
      <c r="A8" s="134">
        <v>1</v>
      </c>
      <c r="B8" s="40" t="str">
        <f>+'ESR2_Sales Forecast'!B11</f>
        <v>HV– 1: NON - INDUSTRIAL BULK LOADS</v>
      </c>
      <c r="C8" s="2097">
        <v>0</v>
      </c>
      <c r="D8" s="2097">
        <f>+'F30_CSD monthly'!H24</f>
        <v>3.6269999999999998</v>
      </c>
      <c r="E8" s="2097">
        <v>0</v>
      </c>
      <c r="F8" s="2097">
        <f>+C8+D8-E8</f>
        <v>3.6269999999999998</v>
      </c>
      <c r="G8" s="2104">
        <f>+'F30_CSD monthly'!N9</f>
        <v>6.7500000000000004E-2</v>
      </c>
      <c r="H8" s="2097">
        <f>+'F30_CSD monthly'!O12</f>
        <v>0.19441331506849319</v>
      </c>
      <c r="I8" s="2097">
        <f>+H8</f>
        <v>0.19441331506849319</v>
      </c>
    </row>
    <row r="9" spans="1:9">
      <c r="A9" s="134">
        <v>2</v>
      </c>
      <c r="B9" s="40" t="str">
        <f>+'ESR2_Sales Forecast'!B12</f>
        <v>HV-2 -LARGE AND HEAVY POWER</v>
      </c>
      <c r="C9" s="2098"/>
      <c r="D9" s="2098"/>
      <c r="E9" s="2098"/>
      <c r="F9" s="2098"/>
      <c r="G9" s="2105"/>
      <c r="H9" s="2098"/>
      <c r="I9" s="2098"/>
    </row>
    <row r="10" spans="1:9">
      <c r="A10" s="134">
        <v>3</v>
      </c>
      <c r="B10" s="40" t="str">
        <f>+'ESR2_Sales Forecast'!B13</f>
        <v>LMV – 9: TEMPORARY SUPPLY</v>
      </c>
      <c r="C10" s="2098"/>
      <c r="D10" s="2098"/>
      <c r="E10" s="2098"/>
      <c r="F10" s="2098"/>
      <c r="G10" s="2105"/>
      <c r="H10" s="2098"/>
      <c r="I10" s="2098"/>
    </row>
    <row r="11" spans="1:9">
      <c r="A11" s="488"/>
      <c r="B11" s="40"/>
      <c r="C11" s="2098"/>
      <c r="D11" s="2098"/>
      <c r="E11" s="2098"/>
      <c r="F11" s="2098"/>
      <c r="G11" s="2105"/>
      <c r="H11" s="2098"/>
      <c r="I11" s="2098"/>
    </row>
    <row r="12" spans="1:9">
      <c r="A12" s="488"/>
      <c r="B12" s="40"/>
      <c r="C12" s="2098"/>
      <c r="D12" s="2098"/>
      <c r="E12" s="2098"/>
      <c r="F12" s="2098"/>
      <c r="G12" s="2105"/>
      <c r="H12" s="2098"/>
      <c r="I12" s="2098"/>
    </row>
    <row r="13" spans="1:9">
      <c r="A13" s="140"/>
      <c r="B13" s="141"/>
      <c r="C13" s="2099"/>
      <c r="D13" s="2099"/>
      <c r="E13" s="2099"/>
      <c r="F13" s="2099"/>
      <c r="G13" s="2106"/>
      <c r="H13" s="2099"/>
      <c r="I13" s="2099"/>
    </row>
    <row r="14" spans="1:9">
      <c r="A14" s="140"/>
      <c r="B14" s="141" t="s">
        <v>18</v>
      </c>
      <c r="C14" s="962">
        <f>SUM(C8)</f>
        <v>0</v>
      </c>
      <c r="D14" s="962">
        <f t="shared" ref="D14:I14" si="0">SUM(D8)</f>
        <v>3.6269999999999998</v>
      </c>
      <c r="E14" s="962">
        <f t="shared" si="0"/>
        <v>0</v>
      </c>
      <c r="F14" s="962">
        <f t="shared" si="0"/>
        <v>3.6269999999999998</v>
      </c>
      <c r="G14" s="874">
        <f t="shared" si="0"/>
        <v>6.7500000000000004E-2</v>
      </c>
      <c r="H14" s="962">
        <f t="shared" si="0"/>
        <v>0.19441331506849319</v>
      </c>
      <c r="I14" s="962">
        <f t="shared" si="0"/>
        <v>0.19441331506849319</v>
      </c>
    </row>
    <row r="15" spans="1:9">
      <c r="A15" s="493"/>
      <c r="B15" s="616" t="s">
        <v>1428</v>
      </c>
      <c r="C15" s="616"/>
      <c r="D15" s="616"/>
      <c r="E15" s="616"/>
      <c r="F15" s="616"/>
      <c r="G15" s="964">
        <f>+G14</f>
        <v>6.7500000000000004E-2</v>
      </c>
      <c r="H15" s="616"/>
      <c r="I15" s="616"/>
    </row>
    <row r="16" spans="1:9">
      <c r="A16" s="493"/>
      <c r="B16" s="617" t="s">
        <v>1431</v>
      </c>
      <c r="C16" s="961"/>
      <c r="D16" s="961"/>
      <c r="E16" s="961"/>
      <c r="F16" s="961"/>
      <c r="G16" s="961"/>
      <c r="H16" s="963">
        <f>+H14</f>
        <v>0.19441331506849319</v>
      </c>
      <c r="I16" s="963">
        <f>+I14</f>
        <v>0.19441331506849319</v>
      </c>
    </row>
    <row r="17" spans="1:9">
      <c r="A17" s="198"/>
      <c r="B17" s="1"/>
      <c r="C17" s="1"/>
      <c r="D17" s="1"/>
      <c r="E17" s="1"/>
      <c r="F17" s="1"/>
      <c r="G17" s="1"/>
      <c r="H17" s="1"/>
      <c r="I17" s="1"/>
    </row>
    <row r="18" spans="1:9">
      <c r="B18" s="2103" t="s">
        <v>1384</v>
      </c>
      <c r="C18" s="2103"/>
      <c r="D18" s="2103"/>
      <c r="E18" s="2103"/>
      <c r="F18" s="2103"/>
      <c r="G18" s="2103"/>
      <c r="H18" s="2103"/>
    </row>
  </sheetData>
  <mergeCells count="19">
    <mergeCell ref="B18:H18"/>
    <mergeCell ref="C5:C7"/>
    <mergeCell ref="D5:D7"/>
    <mergeCell ref="E5:E7"/>
    <mergeCell ref="F5:F7"/>
    <mergeCell ref="G5:G7"/>
    <mergeCell ref="H5:H7"/>
    <mergeCell ref="C8:C13"/>
    <mergeCell ref="D8:D13"/>
    <mergeCell ref="E8:E13"/>
    <mergeCell ref="F8:F13"/>
    <mergeCell ref="G8:G13"/>
    <mergeCell ref="H8:H13"/>
    <mergeCell ref="A1:B1"/>
    <mergeCell ref="A2:H2"/>
    <mergeCell ref="B5:B7"/>
    <mergeCell ref="A5:A7"/>
    <mergeCell ref="I8:I13"/>
    <mergeCell ref="I5:I7"/>
  </mergeCells>
  <printOptions horizontalCentered="1"/>
  <pageMargins left="0.51181102362204722" right="0.51181102362204722" top="0.74803149606299213" bottom="0.74803149606299213" header="0.31496062992125984" footer="0.31496062992125984"/>
  <pageSetup paperSize="5" scale="110"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FFFF"/>
  </sheetPr>
  <dimension ref="A1:J14"/>
  <sheetViews>
    <sheetView view="pageBreakPreview" zoomScaleNormal="90" zoomScaleSheetLayoutView="100" workbookViewId="0">
      <selection activeCell="I29" sqref="I29"/>
    </sheetView>
  </sheetViews>
  <sheetFormatPr defaultColWidth="9.19921875" defaultRowHeight="14.25"/>
  <cols>
    <col min="1" max="1" width="6.46484375" customWidth="1"/>
    <col min="2" max="2" width="55.796875" customWidth="1"/>
    <col min="3" max="3" width="19.796875" customWidth="1"/>
    <col min="4" max="5" width="15.796875" customWidth="1"/>
    <col min="6" max="6" width="19.53125" customWidth="1"/>
  </cols>
  <sheetData>
    <row r="1" spans="1:10">
      <c r="A1" s="1597" t="s">
        <v>1831</v>
      </c>
      <c r="B1" s="1597"/>
      <c r="C1" s="219"/>
      <c r="D1" s="219"/>
      <c r="E1" s="219"/>
      <c r="F1" s="219"/>
    </row>
    <row r="2" spans="1:10">
      <c r="A2" s="1487" t="str">
        <f>+'BS1'!A2</f>
        <v>NIDP DEVELOPERS PRIVATE LIMITED</v>
      </c>
      <c r="B2" s="1487"/>
      <c r="C2" s="1487"/>
      <c r="D2" s="1487"/>
      <c r="E2" s="1487"/>
      <c r="F2" s="1487"/>
    </row>
    <row r="3" spans="1:10">
      <c r="A3" s="173" t="s">
        <v>140</v>
      </c>
      <c r="B3" s="173"/>
      <c r="C3" s="173"/>
      <c r="D3" s="173"/>
      <c r="E3" s="173"/>
      <c r="F3" s="173"/>
    </row>
    <row r="4" spans="1:10">
      <c r="A4" s="3"/>
      <c r="B4" s="3"/>
      <c r="C4" s="3"/>
      <c r="D4" s="3"/>
      <c r="E4" s="3"/>
      <c r="F4" s="3"/>
    </row>
    <row r="5" spans="1:10">
      <c r="A5" s="1488" t="s">
        <v>8</v>
      </c>
      <c r="B5" s="2107" t="s">
        <v>10</v>
      </c>
      <c r="C5" s="157"/>
      <c r="D5" s="157"/>
      <c r="E5" s="157"/>
      <c r="F5" s="157"/>
    </row>
    <row r="6" spans="1:10">
      <c r="A6" s="1488"/>
      <c r="B6" s="2107"/>
      <c r="C6" s="1570" t="s">
        <v>2028</v>
      </c>
      <c r="D6" s="1586"/>
      <c r="E6" s="1586"/>
      <c r="F6" s="1586"/>
    </row>
    <row r="7" spans="1:10" ht="51.5" customHeight="1">
      <c r="A7" s="1488"/>
      <c r="B7" s="2107"/>
      <c r="C7" s="146" t="s">
        <v>1611</v>
      </c>
      <c r="D7" s="146" t="s">
        <v>145</v>
      </c>
      <c r="E7" s="146" t="s">
        <v>1612</v>
      </c>
      <c r="F7" s="146" t="s">
        <v>146</v>
      </c>
    </row>
    <row r="8" spans="1:10">
      <c r="A8" s="17"/>
      <c r="B8" s="71" t="str">
        <f>+'ESR2_Sales Forecast'!B11</f>
        <v>HV– 1: NON - INDUSTRIAL BULK LOADS</v>
      </c>
      <c r="C8" s="861">
        <v>0</v>
      </c>
      <c r="D8" s="966">
        <f>+'[3]Summary '!$D$51</f>
        <v>19.285090058619165</v>
      </c>
      <c r="E8" s="966">
        <f>SUM([3]Data!D54:N54)</f>
        <v>19.268153835</v>
      </c>
      <c r="F8" s="965">
        <f>+C8+D8-E8</f>
        <v>1.6936223619165247E-2</v>
      </c>
    </row>
    <row r="9" spans="1:10">
      <c r="A9" s="5"/>
      <c r="B9" s="71" t="str">
        <f>+'ESR2_Sales Forecast'!B12</f>
        <v>HV-2 -LARGE AND HEAVY POWER</v>
      </c>
      <c r="C9" s="861">
        <v>0</v>
      </c>
      <c r="D9" s="966">
        <f>+'[3]Summary '!$D$52</f>
        <v>13.211447009577359</v>
      </c>
      <c r="E9" s="966">
        <f>SUM([3]Data!D55:N55)+'F30_CSD monthly'!K24-0.00250508187196941</f>
        <v>10.451180033196524</v>
      </c>
      <c r="F9" s="965">
        <f>+C9+D9-E9</f>
        <v>2.7602669763808354</v>
      </c>
    </row>
    <row r="10" spans="1:10">
      <c r="A10" s="17"/>
      <c r="B10" s="71" t="str">
        <f>+'ESR2_Sales Forecast'!B13</f>
        <v>LMV – 9: TEMPORARY SUPPLY</v>
      </c>
      <c r="C10" s="861">
        <v>0</v>
      </c>
      <c r="D10" s="82"/>
      <c r="E10" s="82"/>
      <c r="F10" s="82"/>
    </row>
    <row r="11" spans="1:10">
      <c r="A11" s="5"/>
      <c r="B11" s="71"/>
      <c r="C11" s="71"/>
      <c r="D11" s="71"/>
      <c r="E11" s="71"/>
      <c r="F11" s="71"/>
    </row>
    <row r="12" spans="1:10">
      <c r="A12" s="5"/>
      <c r="B12" s="100"/>
      <c r="C12" s="516"/>
      <c r="D12" s="516"/>
      <c r="E12" s="516"/>
      <c r="F12" s="516"/>
    </row>
    <row r="13" spans="1:10">
      <c r="A13" s="17"/>
      <c r="B13" s="82"/>
      <c r="C13" s="715">
        <f>SUM(C8:C12)</f>
        <v>0</v>
      </c>
      <c r="D13" s="715">
        <f t="shared" ref="D13:F13" si="0">SUM(D8:D12)</f>
        <v>32.496537068196524</v>
      </c>
      <c r="E13" s="715">
        <f t="shared" si="0"/>
        <v>29.719333868196522</v>
      </c>
      <c r="F13" s="715">
        <f t="shared" si="0"/>
        <v>2.7772032000000006</v>
      </c>
      <c r="H13" s="676"/>
      <c r="J13" s="960"/>
    </row>
    <row r="14" spans="1:10">
      <c r="B14" s="88"/>
      <c r="C14" s="88"/>
      <c r="D14" s="88"/>
      <c r="E14" s="88"/>
      <c r="F14" s="88"/>
    </row>
  </sheetData>
  <mergeCells count="5">
    <mergeCell ref="C6:F6"/>
    <mergeCell ref="A1:B1"/>
    <mergeCell ref="A2:F2"/>
    <mergeCell ref="A5:A7"/>
    <mergeCell ref="B5:B7"/>
  </mergeCells>
  <printOptions horizontalCentered="1"/>
  <pageMargins left="0.70866141732283472" right="0.70866141732283472" top="0.74803149606299213" bottom="0.74803149606299213" header="0.31496062992125984" footer="0.31496062992125984"/>
  <pageSetup paperSize="5" scale="115"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FFFF"/>
  </sheetPr>
  <dimension ref="B1:K69"/>
  <sheetViews>
    <sheetView view="pageBreakPreview" topLeftCell="A27" zoomScale="60" zoomScaleNormal="90" workbookViewId="0">
      <selection activeCell="Q47" sqref="Q47"/>
    </sheetView>
  </sheetViews>
  <sheetFormatPr defaultRowHeight="15.75"/>
  <cols>
    <col min="1" max="1" width="2.86328125" style="1072" customWidth="1"/>
    <col min="2" max="2" width="59.46484375" style="1072" bestFit="1" customWidth="1"/>
    <col min="3" max="3" width="16.19921875" style="1072" customWidth="1"/>
    <col min="4" max="4" width="9.06640625" style="1072"/>
    <col min="5" max="5" width="13.53125" style="1072" customWidth="1"/>
    <col min="6" max="6" width="12.53125" style="1072" customWidth="1"/>
    <col min="7" max="7" width="13.19921875" style="1072" customWidth="1"/>
    <col min="8" max="9" width="9.06640625" style="1072"/>
    <col min="10" max="10" width="54.19921875" style="1072" customWidth="1"/>
    <col min="11" max="11" width="15.1328125" style="1072" customWidth="1"/>
    <col min="12" max="16384" width="9.06640625" style="1072"/>
  </cols>
  <sheetData>
    <row r="1" spans="2:11">
      <c r="B1" s="1074" t="s">
        <v>1913</v>
      </c>
    </row>
    <row r="2" spans="2:11">
      <c r="B2" s="1076" t="str">
        <f>+'BS1'!A2</f>
        <v>NIDP DEVELOPERS PRIVATE LIMITED</v>
      </c>
      <c r="C2" s="1077"/>
      <c r="D2" s="1077"/>
      <c r="E2" s="1077"/>
      <c r="F2" s="1077"/>
    </row>
    <row r="3" spans="2:11">
      <c r="B3" s="1097" t="s">
        <v>1365</v>
      </c>
      <c r="C3" s="1097"/>
      <c r="D3" s="1097"/>
      <c r="E3" s="1239"/>
      <c r="F3" s="1239"/>
    </row>
    <row r="4" spans="2:11">
      <c r="B4" s="1077"/>
      <c r="C4" s="1077"/>
      <c r="D4" s="1077"/>
      <c r="E4" s="1077"/>
      <c r="F4" s="1295"/>
      <c r="G4" s="1296" t="s">
        <v>93</v>
      </c>
      <c r="H4" s="1296"/>
    </row>
    <row r="5" spans="2:11">
      <c r="B5" s="2110" t="s">
        <v>10</v>
      </c>
      <c r="C5" s="2111" t="s">
        <v>711</v>
      </c>
      <c r="D5" s="2111"/>
      <c r="E5" s="2111" t="s">
        <v>714</v>
      </c>
      <c r="F5" s="2111"/>
      <c r="G5" s="2111"/>
      <c r="J5" s="1298" t="s">
        <v>2205</v>
      </c>
      <c r="K5" s="1298"/>
    </row>
    <row r="6" spans="2:11" ht="31.5">
      <c r="B6" s="2110"/>
      <c r="C6" s="1297" t="s">
        <v>712</v>
      </c>
      <c r="D6" s="1297" t="s">
        <v>713</v>
      </c>
      <c r="E6" s="1297" t="s">
        <v>712</v>
      </c>
      <c r="F6" s="1297" t="s">
        <v>713</v>
      </c>
      <c r="G6" s="1297" t="s">
        <v>18</v>
      </c>
      <c r="J6" s="1299" t="s">
        <v>10</v>
      </c>
      <c r="K6" s="1300" t="s">
        <v>2206</v>
      </c>
    </row>
    <row r="7" spans="2:11">
      <c r="B7" s="1301" t="s">
        <v>19</v>
      </c>
      <c r="C7" s="1302"/>
      <c r="D7" s="1302"/>
      <c r="E7" s="1303"/>
      <c r="F7" s="1303"/>
      <c r="G7" s="1304"/>
      <c r="J7" s="1301" t="s">
        <v>19</v>
      </c>
      <c r="K7" s="1305"/>
    </row>
    <row r="8" spans="2:11">
      <c r="B8" s="1306" t="s">
        <v>163</v>
      </c>
      <c r="C8" s="1307">
        <v>0</v>
      </c>
      <c r="D8" s="1307">
        <f t="shared" ref="D8:D9" si="0">1-C8</f>
        <v>1</v>
      </c>
      <c r="E8" s="1308">
        <f>+$K8*C8</f>
        <v>0</v>
      </c>
      <c r="F8" s="1308">
        <f>+$K8*D8</f>
        <v>34.812261549395529</v>
      </c>
      <c r="G8" s="1308">
        <f>+E8+F8</f>
        <v>34.812261549395529</v>
      </c>
      <c r="J8" s="1306" t="s">
        <v>163</v>
      </c>
      <c r="K8" s="1309">
        <f>+ARR!H17</f>
        <v>34.812261549395529</v>
      </c>
    </row>
    <row r="9" spans="2:11">
      <c r="B9" s="1306" t="s">
        <v>164</v>
      </c>
      <c r="C9" s="1310">
        <v>0</v>
      </c>
      <c r="D9" s="1307">
        <f t="shared" si="0"/>
        <v>1</v>
      </c>
      <c r="E9" s="1308">
        <f t="shared" ref="E9:E13" si="1">+$K9*C9</f>
        <v>0</v>
      </c>
      <c r="F9" s="1308">
        <f t="shared" ref="F9:F13" si="2">+$K9*D9</f>
        <v>0.2255316277277421</v>
      </c>
      <c r="G9" s="1308">
        <f t="shared" ref="G9:G13" si="3">+E9+F9</f>
        <v>0.2255316277277421</v>
      </c>
      <c r="J9" s="1306" t="s">
        <v>164</v>
      </c>
      <c r="K9" s="1309">
        <f>+ARR!H19</f>
        <v>0.2255316277277421</v>
      </c>
    </row>
    <row r="10" spans="2:11">
      <c r="B10" s="1306" t="s">
        <v>628</v>
      </c>
      <c r="C10" s="1307"/>
      <c r="D10" s="1307"/>
      <c r="E10" s="1308">
        <f t="shared" si="1"/>
        <v>0</v>
      </c>
      <c r="F10" s="1308">
        <f t="shared" si="2"/>
        <v>0</v>
      </c>
      <c r="G10" s="1308">
        <f t="shared" si="3"/>
        <v>0</v>
      </c>
      <c r="J10" s="1306" t="s">
        <v>628</v>
      </c>
      <c r="K10" s="1269"/>
    </row>
    <row r="11" spans="2:11">
      <c r="B11" s="1306" t="s">
        <v>1396</v>
      </c>
      <c r="C11" s="1307">
        <v>0.9</v>
      </c>
      <c r="D11" s="1307">
        <f>1-C11</f>
        <v>9.9999999999999978E-2</v>
      </c>
      <c r="E11" s="1308">
        <f t="shared" si="1"/>
        <v>1.6616851788531817</v>
      </c>
      <c r="F11" s="1308">
        <f t="shared" si="2"/>
        <v>0.18463168653924236</v>
      </c>
      <c r="G11" s="1308">
        <f t="shared" si="3"/>
        <v>1.846316865392424</v>
      </c>
      <c r="J11" s="1306" t="s">
        <v>1396</v>
      </c>
      <c r="K11" s="1309">
        <f>+ARR!H21</f>
        <v>1.846316865392424</v>
      </c>
    </row>
    <row r="12" spans="2:11">
      <c r="B12" s="1306" t="s">
        <v>1378</v>
      </c>
      <c r="C12" s="1307">
        <v>0.6</v>
      </c>
      <c r="D12" s="1307">
        <f t="shared" ref="D12:D21" si="4">1-C12</f>
        <v>0.4</v>
      </c>
      <c r="E12" s="1308">
        <f t="shared" si="1"/>
        <v>0</v>
      </c>
      <c r="F12" s="1308">
        <f t="shared" si="2"/>
        <v>0</v>
      </c>
      <c r="G12" s="1308">
        <f t="shared" si="3"/>
        <v>0</v>
      </c>
      <c r="J12" s="1306" t="s">
        <v>1378</v>
      </c>
      <c r="K12" s="1309">
        <f>+ARR!H22</f>
        <v>0</v>
      </c>
    </row>
    <row r="13" spans="2:11">
      <c r="B13" s="1306" t="s">
        <v>1379</v>
      </c>
      <c r="C13" s="1307">
        <v>0.4</v>
      </c>
      <c r="D13" s="1307">
        <f t="shared" si="4"/>
        <v>0.6</v>
      </c>
      <c r="E13" s="1308">
        <f t="shared" si="1"/>
        <v>1.291999515146675</v>
      </c>
      <c r="F13" s="1308">
        <f t="shared" si="2"/>
        <v>1.9379992727200122</v>
      </c>
      <c r="G13" s="1308">
        <f t="shared" si="3"/>
        <v>3.2299987878666871</v>
      </c>
      <c r="J13" s="1306" t="s">
        <v>1379</v>
      </c>
      <c r="K13" s="1309">
        <f>+ARR!H23</f>
        <v>3.2299987878666871</v>
      </c>
    </row>
    <row r="14" spans="2:11">
      <c r="B14" s="1306" t="s">
        <v>1380</v>
      </c>
      <c r="C14" s="1307">
        <f>+E14/G14</f>
        <v>0.58185599473183336</v>
      </c>
      <c r="D14" s="1307">
        <f>+F14/G14</f>
        <v>0.4181440052681667</v>
      </c>
      <c r="E14" s="1311">
        <f t="shared" ref="E14" si="5">SUM(E11:E13)</f>
        <v>2.9536846939998567</v>
      </c>
      <c r="F14" s="1311">
        <f t="shared" ref="F14" si="6">SUM(F11:F13)</f>
        <v>2.1226309592592547</v>
      </c>
      <c r="G14" s="1311">
        <f t="shared" ref="G14" si="7">SUM(G11:G13)</f>
        <v>5.0763156532591109</v>
      </c>
      <c r="J14" s="1306" t="s">
        <v>1380</v>
      </c>
      <c r="K14" s="1311">
        <f>SUM(K11:K13)</f>
        <v>5.0763156532591109</v>
      </c>
    </row>
    <row r="15" spans="2:11">
      <c r="B15" s="1306" t="s">
        <v>21</v>
      </c>
      <c r="C15" s="1310">
        <v>0.9</v>
      </c>
      <c r="D15" s="1307">
        <f t="shared" si="4"/>
        <v>9.9999999999999978E-2</v>
      </c>
      <c r="E15" s="1308">
        <f t="shared" ref="E15:E21" si="8">+$K15*C15</f>
        <v>1.7077456847367896</v>
      </c>
      <c r="F15" s="1308">
        <f t="shared" ref="F15:F21" si="9">+$K15*D15</f>
        <v>0.18974952052630992</v>
      </c>
      <c r="G15" s="1308">
        <f t="shared" ref="G15:G21" si="10">+E15+F15</f>
        <v>1.8974952052630996</v>
      </c>
      <c r="J15" s="1306" t="s">
        <v>21</v>
      </c>
      <c r="K15" s="1309">
        <f>+ARR!H28</f>
        <v>1.8974952052630996</v>
      </c>
    </row>
    <row r="16" spans="2:11">
      <c r="B16" s="1306" t="s">
        <v>1381</v>
      </c>
      <c r="C16" s="1310">
        <v>0.9</v>
      </c>
      <c r="D16" s="1307">
        <f t="shared" si="4"/>
        <v>9.9999999999999978E-2</v>
      </c>
      <c r="E16" s="1308">
        <f t="shared" si="8"/>
        <v>2.0694326598322834</v>
      </c>
      <c r="F16" s="1308">
        <f t="shared" si="9"/>
        <v>0.22993696220358698</v>
      </c>
      <c r="G16" s="1308">
        <f t="shared" si="10"/>
        <v>2.2993696220358704</v>
      </c>
      <c r="J16" s="1306" t="s">
        <v>1381</v>
      </c>
      <c r="K16" s="1309">
        <f>+ARR!H29</f>
        <v>2.2993696220358704</v>
      </c>
    </row>
    <row r="17" spans="2:11">
      <c r="B17" s="1306" t="s">
        <v>1613</v>
      </c>
      <c r="C17" s="1310">
        <v>0.1</v>
      </c>
      <c r="D17" s="1307">
        <f t="shared" si="4"/>
        <v>0.9</v>
      </c>
      <c r="E17" s="1308">
        <f t="shared" si="8"/>
        <v>5.7648849014306849E-2</v>
      </c>
      <c r="F17" s="1308">
        <f t="shared" si="9"/>
        <v>0.51883964112876169</v>
      </c>
      <c r="G17" s="1308">
        <f t="shared" si="10"/>
        <v>0.57648849014306858</v>
      </c>
      <c r="J17" s="1306" t="s">
        <v>1613</v>
      </c>
      <c r="K17" s="1309">
        <f>+ARR!H30+ARR!H32+ARR!H31</f>
        <v>0.57648849014306847</v>
      </c>
    </row>
    <row r="18" spans="2:11">
      <c r="B18" s="1306" t="s">
        <v>1383</v>
      </c>
      <c r="C18" s="1307">
        <v>0</v>
      </c>
      <c r="D18" s="1307">
        <f t="shared" si="4"/>
        <v>1</v>
      </c>
      <c r="E18" s="1308">
        <f t="shared" si="8"/>
        <v>0</v>
      </c>
      <c r="F18" s="1308">
        <f t="shared" si="9"/>
        <v>0</v>
      </c>
      <c r="G18" s="1308">
        <f t="shared" si="10"/>
        <v>0</v>
      </c>
      <c r="J18" s="1306" t="s">
        <v>1383</v>
      </c>
      <c r="K18" s="1309">
        <f>+ARR!H33</f>
        <v>0</v>
      </c>
    </row>
    <row r="19" spans="2:11">
      <c r="B19" s="1306" t="s">
        <v>25</v>
      </c>
      <c r="C19" s="1310">
        <v>0.9</v>
      </c>
      <c r="D19" s="1307">
        <f t="shared" si="4"/>
        <v>9.9999999999999978E-2</v>
      </c>
      <c r="E19" s="1308">
        <f t="shared" si="8"/>
        <v>0</v>
      </c>
      <c r="F19" s="1308">
        <f t="shared" si="9"/>
        <v>0</v>
      </c>
      <c r="G19" s="1308">
        <f t="shared" si="10"/>
        <v>0</v>
      </c>
      <c r="J19" s="1306" t="s">
        <v>25</v>
      </c>
      <c r="K19" s="1309">
        <f>+ARR!H34</f>
        <v>0</v>
      </c>
    </row>
    <row r="20" spans="2:11">
      <c r="B20" s="1306" t="s">
        <v>28</v>
      </c>
      <c r="C20" s="1307">
        <v>0.9</v>
      </c>
      <c r="D20" s="1307">
        <f t="shared" si="4"/>
        <v>9.9999999999999978E-2</v>
      </c>
      <c r="E20" s="1308">
        <f t="shared" si="8"/>
        <v>1.4955166609678634</v>
      </c>
      <c r="F20" s="1308">
        <f t="shared" si="9"/>
        <v>0.16616851788531811</v>
      </c>
      <c r="G20" s="1308">
        <f t="shared" si="10"/>
        <v>1.6616851788531815</v>
      </c>
      <c r="J20" s="1306" t="s">
        <v>28</v>
      </c>
      <c r="K20" s="1309">
        <f>+ARR!H35</f>
        <v>1.6616851788531815</v>
      </c>
    </row>
    <row r="21" spans="2:11">
      <c r="B21" s="1306" t="s">
        <v>87</v>
      </c>
      <c r="C21" s="1307">
        <v>0.9</v>
      </c>
      <c r="D21" s="1307">
        <f t="shared" si="4"/>
        <v>9.9999999999999978E-2</v>
      </c>
      <c r="E21" s="1308">
        <f t="shared" si="8"/>
        <v>0</v>
      </c>
      <c r="F21" s="1308">
        <f t="shared" si="9"/>
        <v>0</v>
      </c>
      <c r="G21" s="1308">
        <f t="shared" si="10"/>
        <v>0</v>
      </c>
      <c r="J21" s="1306" t="s">
        <v>87</v>
      </c>
      <c r="K21" s="1309">
        <f>+ARR!H36</f>
        <v>0</v>
      </c>
    </row>
    <row r="22" spans="2:11">
      <c r="B22" s="1301" t="s">
        <v>606</v>
      </c>
      <c r="C22" s="1312"/>
      <c r="D22" s="1312"/>
      <c r="E22" s="1311">
        <f t="shared" ref="E22" si="11">SUM(E15:E21)+SUM(E8:E13)</f>
        <v>8.2840285485510989</v>
      </c>
      <c r="F22" s="1311">
        <f t="shared" ref="F22" si="12">SUM(F15:F21)+SUM(F8:F13)</f>
        <v>38.265118778126499</v>
      </c>
      <c r="G22" s="1311">
        <f t="shared" ref="G22" si="13">SUM(G15:G21)+SUM(G8:G13)</f>
        <v>46.549147326677598</v>
      </c>
      <c r="H22" s="1071"/>
      <c r="I22" s="1071"/>
      <c r="J22" s="1301" t="s">
        <v>606</v>
      </c>
      <c r="K22" s="1311">
        <f>SUM(K15:K21)+SUM(K8:K13)</f>
        <v>46.549147326677598</v>
      </c>
    </row>
    <row r="23" spans="2:11">
      <c r="B23" s="1313"/>
      <c r="C23" s="1307"/>
      <c r="D23" s="1307"/>
      <c r="E23" s="1303"/>
      <c r="F23" s="1303"/>
      <c r="G23" s="1303"/>
      <c r="J23" s="1313"/>
      <c r="K23" s="1311"/>
    </row>
    <row r="24" spans="2:11">
      <c r="B24" s="1301" t="s">
        <v>323</v>
      </c>
      <c r="C24" s="1307"/>
      <c r="D24" s="1307"/>
      <c r="E24" s="1303"/>
      <c r="F24" s="1303"/>
      <c r="G24" s="1303"/>
      <c r="J24" s="1301" t="s">
        <v>323</v>
      </c>
      <c r="K24" s="1309"/>
    </row>
    <row r="25" spans="2:11">
      <c r="B25" s="1306" t="s">
        <v>84</v>
      </c>
      <c r="C25" s="1310"/>
      <c r="D25" s="1307">
        <f t="shared" ref="D25:D27" si="14">1-C25</f>
        <v>1</v>
      </c>
      <c r="E25" s="1308">
        <f t="shared" ref="E25:E27" si="15">+$K25*C25</f>
        <v>0</v>
      </c>
      <c r="F25" s="1308">
        <f t="shared" ref="F25:F27" si="16">+$K25*D25</f>
        <v>0</v>
      </c>
      <c r="G25" s="1308">
        <f t="shared" ref="G25:G27" si="17">+E25+F25</f>
        <v>0</v>
      </c>
      <c r="J25" s="1306" t="s">
        <v>84</v>
      </c>
      <c r="K25" s="1309">
        <f>+ARR!H40</f>
        <v>0</v>
      </c>
    </row>
    <row r="26" spans="2:11">
      <c r="B26" s="1306" t="s">
        <v>88</v>
      </c>
      <c r="C26" s="1314">
        <v>0</v>
      </c>
      <c r="D26" s="1307">
        <f t="shared" si="14"/>
        <v>1</v>
      </c>
      <c r="E26" s="1308">
        <f t="shared" si="15"/>
        <v>0</v>
      </c>
      <c r="F26" s="1308">
        <f t="shared" si="16"/>
        <v>0.2431547899367032</v>
      </c>
      <c r="G26" s="1308">
        <f t="shared" si="17"/>
        <v>0.2431547899367032</v>
      </c>
      <c r="J26" s="1306" t="s">
        <v>88</v>
      </c>
      <c r="K26" s="1309">
        <f>+ARR!H41</f>
        <v>0.2431547899367032</v>
      </c>
    </row>
    <row r="27" spans="2:11">
      <c r="B27" s="1315" t="s">
        <v>320</v>
      </c>
      <c r="C27" s="1314"/>
      <c r="D27" s="1307">
        <f t="shared" si="14"/>
        <v>1</v>
      </c>
      <c r="E27" s="1308">
        <f t="shared" si="15"/>
        <v>0</v>
      </c>
      <c r="F27" s="1308">
        <f t="shared" si="16"/>
        <v>0</v>
      </c>
      <c r="G27" s="1308">
        <f t="shared" si="17"/>
        <v>0</v>
      </c>
      <c r="J27" s="1315" t="s">
        <v>320</v>
      </c>
      <c r="K27" s="1309">
        <f>+ARR!H42</f>
        <v>0</v>
      </c>
    </row>
    <row r="28" spans="2:11">
      <c r="B28" s="1301" t="s">
        <v>605</v>
      </c>
      <c r="C28" s="1316">
        <f>+E28/G28</f>
        <v>0</v>
      </c>
      <c r="D28" s="1316">
        <f>+F28/G28</f>
        <v>1</v>
      </c>
      <c r="E28" s="1317">
        <f t="shared" ref="E28" si="18">SUM(E25:E27)</f>
        <v>0</v>
      </c>
      <c r="F28" s="1317">
        <f t="shared" ref="F28" si="19">SUM(F25:F27)</f>
        <v>0.2431547899367032</v>
      </c>
      <c r="G28" s="1317">
        <f t="shared" ref="G28" si="20">SUM(G25:G27)</f>
        <v>0.2431547899367032</v>
      </c>
      <c r="J28" s="1301" t="s">
        <v>605</v>
      </c>
      <c r="K28" s="1317">
        <f>SUM(K25:K27)</f>
        <v>0.2431547899367032</v>
      </c>
    </row>
    <row r="29" spans="2:11">
      <c r="B29" s="1318" t="s">
        <v>160</v>
      </c>
      <c r="C29" s="1316">
        <f>+E29/G29</f>
        <v>0.17889754856195433</v>
      </c>
      <c r="D29" s="1316">
        <f>+F29/G29</f>
        <v>0.82110245143804572</v>
      </c>
      <c r="E29" s="1317">
        <f t="shared" ref="E29" si="21">+E22-E28</f>
        <v>8.2840285485510989</v>
      </c>
      <c r="F29" s="1317">
        <f t="shared" ref="F29" si="22">+F22-F28</f>
        <v>38.021963988189796</v>
      </c>
      <c r="G29" s="1317">
        <f t="shared" ref="G29" si="23">+G22-G28</f>
        <v>46.305992536740895</v>
      </c>
      <c r="J29" s="1319" t="s">
        <v>160</v>
      </c>
      <c r="K29" s="1317">
        <f>+K22-K28</f>
        <v>46.305992536740895</v>
      </c>
    </row>
    <row r="30" spans="2:11">
      <c r="B30" s="1320" t="s">
        <v>2203</v>
      </c>
      <c r="C30" s="1314">
        <v>0.9</v>
      </c>
      <c r="D30" s="1307">
        <f t="shared" ref="D30" si="24">1-C30</f>
        <v>9.9999999999999978E-2</v>
      </c>
      <c r="E30" s="1308">
        <f t="shared" ref="E30" si="25">+$K30*C30</f>
        <v>0.61711677843848323</v>
      </c>
      <c r="F30" s="1308">
        <f t="shared" ref="F30" si="26">+$K30*D30</f>
        <v>6.8568530937609229E-2</v>
      </c>
      <c r="G30" s="1308">
        <f t="shared" ref="G30" si="27">+E30+F30</f>
        <v>0.6856853093760924</v>
      </c>
      <c r="J30" s="1320" t="s">
        <v>2203</v>
      </c>
      <c r="K30" s="1309">
        <f>-ARR!H53</f>
        <v>0.6856853093760924</v>
      </c>
    </row>
    <row r="31" spans="2:11" ht="31.5">
      <c r="B31" s="1318" t="s">
        <v>2204</v>
      </c>
      <c r="C31" s="1316">
        <f>+E31/G31</f>
        <v>0.18941961076891195</v>
      </c>
      <c r="D31" s="1316">
        <f>+F31/G31</f>
        <v>0.81058038923108811</v>
      </c>
      <c r="E31" s="1321">
        <f t="shared" ref="E31" si="28">+E29+E30</f>
        <v>8.9011453269895817</v>
      </c>
      <c r="F31" s="1321">
        <f t="shared" ref="F31" si="29">+F29+F30</f>
        <v>38.090532519127407</v>
      </c>
      <c r="G31" s="1321">
        <f t="shared" ref="G31" si="30">+G29+G30</f>
        <v>46.991677846116986</v>
      </c>
      <c r="J31" s="1318" t="s">
        <v>2204</v>
      </c>
      <c r="K31" s="1321">
        <f>+K29+K30</f>
        <v>46.991677846116986</v>
      </c>
    </row>
    <row r="32" spans="2:11">
      <c r="B32" s="1319"/>
      <c r="C32" s="1314"/>
      <c r="D32" s="1314"/>
      <c r="E32" s="1088"/>
      <c r="F32" s="1088"/>
      <c r="G32" s="1088"/>
      <c r="J32" s="1319"/>
      <c r="K32" s="1088"/>
    </row>
    <row r="33" spans="2:11">
      <c r="B33" s="1088"/>
      <c r="C33" s="1314"/>
      <c r="D33" s="1314"/>
      <c r="E33" s="1088"/>
      <c r="F33" s="1088"/>
      <c r="G33" s="1088"/>
      <c r="J33" s="1088"/>
      <c r="K33" s="1088"/>
    </row>
    <row r="34" spans="2:11">
      <c r="B34" s="1322"/>
      <c r="C34" s="1314"/>
      <c r="D34" s="1314"/>
      <c r="E34" s="1088"/>
      <c r="F34" s="1088"/>
      <c r="G34" s="1088"/>
      <c r="J34" s="1133"/>
      <c r="K34" s="1088"/>
    </row>
    <row r="35" spans="2:11">
      <c r="B35" s="2109" t="s">
        <v>715</v>
      </c>
      <c r="C35" s="2109"/>
      <c r="D35" s="2109"/>
      <c r="E35" s="2109"/>
      <c r="F35" s="2109"/>
      <c r="G35" s="2109"/>
    </row>
    <row r="36" spans="2:11">
      <c r="B36" s="2112" t="s">
        <v>1411</v>
      </c>
      <c r="C36" s="2113"/>
      <c r="D36" s="2113"/>
      <c r="E36" s="2113"/>
      <c r="F36" s="2113"/>
      <c r="G36" s="2114"/>
      <c r="J36" s="2108" t="s">
        <v>715</v>
      </c>
      <c r="K36" s="2108"/>
    </row>
    <row r="37" spans="2:11">
      <c r="B37" s="1077"/>
      <c r="C37" s="1077"/>
      <c r="D37" s="1077"/>
      <c r="E37" s="1077"/>
      <c r="F37" s="1295"/>
      <c r="G37" s="1296"/>
      <c r="H37" s="1296"/>
    </row>
    <row r="38" spans="2:11">
      <c r="B38" s="2110" t="s">
        <v>10</v>
      </c>
      <c r="C38" s="2111" t="s">
        <v>711</v>
      </c>
      <c r="D38" s="2111"/>
      <c r="E38" s="2111" t="s">
        <v>714</v>
      </c>
      <c r="F38" s="2111"/>
      <c r="G38" s="2111"/>
      <c r="J38" s="1298" t="s">
        <v>2201</v>
      </c>
      <c r="K38" s="1298"/>
    </row>
    <row r="39" spans="2:11" ht="31.5">
      <c r="B39" s="2110"/>
      <c r="C39" s="1297" t="s">
        <v>712</v>
      </c>
      <c r="D39" s="1297" t="s">
        <v>713</v>
      </c>
      <c r="E39" s="1297" t="s">
        <v>712</v>
      </c>
      <c r="F39" s="1297" t="s">
        <v>713</v>
      </c>
      <c r="G39" s="1297" t="s">
        <v>18</v>
      </c>
      <c r="J39" s="1299" t="s">
        <v>10</v>
      </c>
      <c r="K39" s="1300" t="s">
        <v>2202</v>
      </c>
    </row>
    <row r="40" spans="2:11">
      <c r="B40" s="1301" t="s">
        <v>19</v>
      </c>
      <c r="C40" s="1302"/>
      <c r="D40" s="1302"/>
      <c r="E40" s="1303"/>
      <c r="F40" s="1303"/>
      <c r="G40" s="1304"/>
      <c r="J40" s="1301" t="s">
        <v>19</v>
      </c>
      <c r="K40" s="1305"/>
    </row>
    <row r="41" spans="2:11">
      <c r="B41" s="1306" t="s">
        <v>163</v>
      </c>
      <c r="C41" s="1307">
        <v>0</v>
      </c>
      <c r="D41" s="1307">
        <f t="shared" ref="D41:D42" si="31">1-C41</f>
        <v>1</v>
      </c>
      <c r="E41" s="1308">
        <f>+$K41*C41</f>
        <v>0</v>
      </c>
      <c r="F41" s="1308">
        <f>+$K41*D41</f>
        <v>57.484157668761192</v>
      </c>
      <c r="G41" s="1308">
        <f>+E41+F41</f>
        <v>57.484157668761192</v>
      </c>
      <c r="J41" s="1306" t="s">
        <v>163</v>
      </c>
      <c r="K41" s="1309">
        <f>+ARR!I17</f>
        <v>57.484157668761192</v>
      </c>
    </row>
    <row r="42" spans="2:11">
      <c r="B42" s="1306" t="s">
        <v>164</v>
      </c>
      <c r="C42" s="1310">
        <v>0</v>
      </c>
      <c r="D42" s="1307">
        <f t="shared" si="31"/>
        <v>1</v>
      </c>
      <c r="E42" s="1308">
        <f t="shared" ref="E42:E46" si="32">+$K42*C42</f>
        <v>0</v>
      </c>
      <c r="F42" s="1308">
        <f t="shared" ref="F42:F46" si="33">+$K42*D42</f>
        <v>0.79</v>
      </c>
      <c r="G42" s="1308">
        <f t="shared" ref="G42:G46" si="34">+E42+F42</f>
        <v>0.79</v>
      </c>
      <c r="J42" s="1306" t="s">
        <v>164</v>
      </c>
      <c r="K42" s="1309">
        <f>+ARR!I19</f>
        <v>0.79</v>
      </c>
    </row>
    <row r="43" spans="2:11">
      <c r="B43" s="1306" t="s">
        <v>628</v>
      </c>
      <c r="C43" s="1307"/>
      <c r="D43" s="1307"/>
      <c r="E43" s="1308">
        <f t="shared" si="32"/>
        <v>0</v>
      </c>
      <c r="F43" s="1308">
        <f t="shared" si="33"/>
        <v>0</v>
      </c>
      <c r="G43" s="1308">
        <f t="shared" si="34"/>
        <v>0</v>
      </c>
      <c r="J43" s="1306" t="s">
        <v>628</v>
      </c>
      <c r="K43" s="1269"/>
    </row>
    <row r="44" spans="2:11">
      <c r="B44" s="1306" t="s">
        <v>1396</v>
      </c>
      <c r="C44" s="1307">
        <v>0.9</v>
      </c>
      <c r="D44" s="1307">
        <f>1-C44</f>
        <v>9.9999999999999978E-2</v>
      </c>
      <c r="E44" s="1308">
        <f t="shared" si="32"/>
        <v>1.7345851788531816</v>
      </c>
      <c r="F44" s="1308">
        <f t="shared" si="33"/>
        <v>0.19273168653924236</v>
      </c>
      <c r="G44" s="1308">
        <f t="shared" si="34"/>
        <v>1.927316865392424</v>
      </c>
      <c r="J44" s="1306" t="s">
        <v>1396</v>
      </c>
      <c r="K44" s="1309">
        <f>+ARR!I21</f>
        <v>1.927316865392424</v>
      </c>
    </row>
    <row r="45" spans="2:11">
      <c r="B45" s="1306" t="s">
        <v>1378</v>
      </c>
      <c r="C45" s="1307">
        <v>0.6</v>
      </c>
      <c r="D45" s="1307">
        <f t="shared" ref="D45:D54" si="35">1-C45</f>
        <v>0.4</v>
      </c>
      <c r="E45" s="1308">
        <f t="shared" si="32"/>
        <v>0</v>
      </c>
      <c r="F45" s="1308">
        <f t="shared" si="33"/>
        <v>0</v>
      </c>
      <c r="G45" s="1308">
        <f t="shared" si="34"/>
        <v>0</v>
      </c>
      <c r="J45" s="1306" t="s">
        <v>1378</v>
      </c>
      <c r="K45" s="1309">
        <f>+ARR!I22</f>
        <v>0</v>
      </c>
    </row>
    <row r="46" spans="2:11">
      <c r="B46" s="1306" t="s">
        <v>1379</v>
      </c>
      <c r="C46" s="1307">
        <v>0.4</v>
      </c>
      <c r="D46" s="1307">
        <f t="shared" si="35"/>
        <v>0.6</v>
      </c>
      <c r="E46" s="1308">
        <f t="shared" si="32"/>
        <v>1.3391795977463954</v>
      </c>
      <c r="F46" s="1308">
        <f t="shared" si="33"/>
        <v>2.0087693966195928</v>
      </c>
      <c r="G46" s="1308">
        <f t="shared" si="34"/>
        <v>3.3479489943659884</v>
      </c>
      <c r="J46" s="1306" t="s">
        <v>1379</v>
      </c>
      <c r="K46" s="1309">
        <f>+ARR!I23</f>
        <v>3.3479489943659884</v>
      </c>
    </row>
    <row r="47" spans="2:11">
      <c r="B47" s="1306" t="s">
        <v>1380</v>
      </c>
      <c r="C47" s="1307">
        <f>+E47/G47</f>
        <v>0.58267485626598248</v>
      </c>
      <c r="D47" s="1307">
        <f>+F47/G47</f>
        <v>0.41732514373401763</v>
      </c>
      <c r="E47" s="1311">
        <f t="shared" ref="E47:G47" si="36">SUM(E44:E46)</f>
        <v>3.0737647765995773</v>
      </c>
      <c r="F47" s="1311">
        <f t="shared" si="36"/>
        <v>2.2015010831588353</v>
      </c>
      <c r="G47" s="1311">
        <f t="shared" si="36"/>
        <v>5.2752658597584121</v>
      </c>
      <c r="J47" s="1306" t="s">
        <v>1380</v>
      </c>
      <c r="K47" s="1311">
        <f>SUM(K44:K46)</f>
        <v>5.2752658597584121</v>
      </c>
    </row>
    <row r="48" spans="2:11">
      <c r="B48" s="1306" t="s">
        <v>21</v>
      </c>
      <c r="C48" s="1310">
        <v>0.9</v>
      </c>
      <c r="D48" s="1307">
        <f t="shared" si="35"/>
        <v>9.9999999999999978E-2</v>
      </c>
      <c r="E48" s="1308">
        <f t="shared" ref="E48:E54" si="37">+$K48*C48</f>
        <v>1.7590186847367899</v>
      </c>
      <c r="F48" s="1308">
        <f t="shared" ref="F48:F54" si="38">+$K48*D48</f>
        <v>0.19544652052630992</v>
      </c>
      <c r="G48" s="1308">
        <f t="shared" ref="G48:G54" si="39">+E48+F48</f>
        <v>1.9544652052630997</v>
      </c>
      <c r="J48" s="1306" t="s">
        <v>21</v>
      </c>
      <c r="K48" s="1309">
        <f>+ARR!I28</f>
        <v>1.9544652052630997</v>
      </c>
    </row>
    <row r="49" spans="2:11">
      <c r="B49" s="1306" t="s">
        <v>1381</v>
      </c>
      <c r="C49" s="1310">
        <v>0.9</v>
      </c>
      <c r="D49" s="1307">
        <f t="shared" si="35"/>
        <v>9.9999999999999978E-2</v>
      </c>
      <c r="E49" s="1308">
        <f t="shared" si="37"/>
        <v>1.9821845491378838</v>
      </c>
      <c r="F49" s="1308">
        <f t="shared" si="38"/>
        <v>0.22024272768198702</v>
      </c>
      <c r="G49" s="1308">
        <f t="shared" si="39"/>
        <v>2.2024272768198707</v>
      </c>
      <c r="J49" s="1306" t="s">
        <v>1381</v>
      </c>
      <c r="K49" s="1309">
        <f>+ARR!I29</f>
        <v>2.2024272768198707</v>
      </c>
    </row>
    <row r="50" spans="2:11">
      <c r="B50" s="1306" t="s">
        <v>1613</v>
      </c>
      <c r="C50" s="1310">
        <v>0.1</v>
      </c>
      <c r="D50" s="1307">
        <f t="shared" si="35"/>
        <v>0.9</v>
      </c>
      <c r="E50" s="1308">
        <f t="shared" ca="1" si="37"/>
        <v>9.7726846426975919E-2</v>
      </c>
      <c r="F50" s="1308">
        <f t="shared" ca="1" si="38"/>
        <v>0.87954161784278317</v>
      </c>
      <c r="G50" s="1308">
        <f t="shared" ca="1" si="39"/>
        <v>0.97726846426975911</v>
      </c>
      <c r="J50" s="1306" t="s">
        <v>1613</v>
      </c>
      <c r="K50" s="1309">
        <f ca="1">+ARR!I30+ARR!I32+ARR!I31</f>
        <v>0.97726846426975911</v>
      </c>
    </row>
    <row r="51" spans="2:11">
      <c r="B51" s="1306" t="s">
        <v>1383</v>
      </c>
      <c r="C51" s="1307">
        <v>0</v>
      </c>
      <c r="D51" s="1307">
        <f t="shared" si="35"/>
        <v>1</v>
      </c>
      <c r="E51" s="1308">
        <f t="shared" si="37"/>
        <v>0</v>
      </c>
      <c r="F51" s="1308">
        <f t="shared" si="38"/>
        <v>0</v>
      </c>
      <c r="G51" s="1308">
        <f t="shared" si="39"/>
        <v>0</v>
      </c>
      <c r="J51" s="1306" t="s">
        <v>1383</v>
      </c>
      <c r="K51" s="1309">
        <f>+ARR!I33</f>
        <v>0</v>
      </c>
    </row>
    <row r="52" spans="2:11">
      <c r="B52" s="1306" t="s">
        <v>25</v>
      </c>
      <c r="C52" s="1310">
        <v>0.9</v>
      </c>
      <c r="D52" s="1307">
        <f t="shared" si="35"/>
        <v>9.9999999999999978E-2</v>
      </c>
      <c r="E52" s="1308">
        <f t="shared" si="37"/>
        <v>0</v>
      </c>
      <c r="F52" s="1308">
        <f t="shared" si="38"/>
        <v>0</v>
      </c>
      <c r="G52" s="1308">
        <f t="shared" si="39"/>
        <v>0</v>
      </c>
      <c r="J52" s="1306" t="s">
        <v>25</v>
      </c>
      <c r="K52" s="1309">
        <f>+ARR!I34</f>
        <v>0</v>
      </c>
    </row>
    <row r="53" spans="2:11">
      <c r="B53" s="1306" t="s">
        <v>28</v>
      </c>
      <c r="C53" s="1307">
        <v>0.9</v>
      </c>
      <c r="D53" s="1307">
        <f t="shared" si="35"/>
        <v>9.9999999999999978E-2</v>
      </c>
      <c r="E53" s="1308">
        <f t="shared" si="37"/>
        <v>1.5501916609678632</v>
      </c>
      <c r="F53" s="1308">
        <f t="shared" si="38"/>
        <v>0.17224351788531808</v>
      </c>
      <c r="G53" s="1308">
        <f t="shared" si="39"/>
        <v>1.7224351788531813</v>
      </c>
      <c r="J53" s="1306" t="s">
        <v>28</v>
      </c>
      <c r="K53" s="1309">
        <f>+ARR!I35</f>
        <v>1.7224351788531813</v>
      </c>
    </row>
    <row r="54" spans="2:11">
      <c r="B54" s="1306" t="s">
        <v>87</v>
      </c>
      <c r="C54" s="1307">
        <v>0.9</v>
      </c>
      <c r="D54" s="1307">
        <f t="shared" si="35"/>
        <v>9.9999999999999978E-2</v>
      </c>
      <c r="E54" s="1308">
        <f t="shared" si="37"/>
        <v>0</v>
      </c>
      <c r="F54" s="1308">
        <f t="shared" si="38"/>
        <v>0</v>
      </c>
      <c r="G54" s="1308">
        <f t="shared" si="39"/>
        <v>0</v>
      </c>
      <c r="J54" s="1306" t="s">
        <v>87</v>
      </c>
      <c r="K54" s="1309">
        <f>+ARR!I36</f>
        <v>0</v>
      </c>
    </row>
    <row r="55" spans="2:11">
      <c r="B55" s="1301" t="s">
        <v>606</v>
      </c>
      <c r="C55" s="1312"/>
      <c r="D55" s="1312"/>
      <c r="E55" s="1311">
        <f t="shared" ref="E55:G55" ca="1" si="40">SUM(E48:E54)+SUM(E41:E46)</f>
        <v>8.4628865178690909</v>
      </c>
      <c r="F55" s="1311">
        <f t="shared" ca="1" si="40"/>
        <v>61.943133135856421</v>
      </c>
      <c r="G55" s="1311">
        <f t="shared" ca="1" si="40"/>
        <v>70.406019653725508</v>
      </c>
      <c r="H55" s="1071"/>
      <c r="I55" s="1071"/>
      <c r="J55" s="1301" t="s">
        <v>606</v>
      </c>
      <c r="K55" s="1311">
        <f ca="1">SUM(K48:K54)+SUM(K41:K46)</f>
        <v>70.406019653725508</v>
      </c>
    </row>
    <row r="56" spans="2:11">
      <c r="B56" s="1313"/>
      <c r="C56" s="1307"/>
      <c r="D56" s="1307"/>
      <c r="E56" s="1303"/>
      <c r="F56" s="1303"/>
      <c r="G56" s="1303"/>
      <c r="J56" s="1313"/>
      <c r="K56" s="1311"/>
    </row>
    <row r="57" spans="2:11">
      <c r="B57" s="1301" t="s">
        <v>323</v>
      </c>
      <c r="C57" s="1307"/>
      <c r="D57" s="1307"/>
      <c r="E57" s="1303"/>
      <c r="F57" s="1303"/>
      <c r="G57" s="1303"/>
      <c r="J57" s="1301" t="s">
        <v>323</v>
      </c>
      <c r="K57" s="1309"/>
    </row>
    <row r="58" spans="2:11">
      <c r="B58" s="1306" t="s">
        <v>84</v>
      </c>
      <c r="C58" s="1310"/>
      <c r="D58" s="1307">
        <f t="shared" ref="D58:D60" si="41">1-C58</f>
        <v>1</v>
      </c>
      <c r="E58" s="1308">
        <f t="shared" ref="E58:E60" si="42">+$K58*C58</f>
        <v>0</v>
      </c>
      <c r="F58" s="1308">
        <f t="shared" ref="F58:F60" si="43">+$K58*D58</f>
        <v>0</v>
      </c>
      <c r="G58" s="1308">
        <f t="shared" ref="G58:G60" si="44">+E58+F58</f>
        <v>0</v>
      </c>
      <c r="J58" s="1306" t="s">
        <v>84</v>
      </c>
      <c r="K58" s="1309">
        <f>+ARR!I40</f>
        <v>0</v>
      </c>
    </row>
    <row r="59" spans="2:11">
      <c r="B59" s="1306" t="s">
        <v>88</v>
      </c>
      <c r="C59" s="1314">
        <v>0</v>
      </c>
      <c r="D59" s="1307">
        <f t="shared" si="41"/>
        <v>1</v>
      </c>
      <c r="E59" s="1308">
        <f t="shared" si="42"/>
        <v>0</v>
      </c>
      <c r="F59" s="1308">
        <f t="shared" si="43"/>
        <v>0.2431547899367032</v>
      </c>
      <c r="G59" s="1308">
        <f t="shared" si="44"/>
        <v>0.2431547899367032</v>
      </c>
      <c r="J59" s="1306" t="s">
        <v>88</v>
      </c>
      <c r="K59" s="1309">
        <f>+ARR!I41</f>
        <v>0.2431547899367032</v>
      </c>
    </row>
    <row r="60" spans="2:11">
      <c r="B60" s="1315" t="s">
        <v>320</v>
      </c>
      <c r="C60" s="1314"/>
      <c r="D60" s="1307">
        <f t="shared" si="41"/>
        <v>1</v>
      </c>
      <c r="E60" s="1308">
        <f t="shared" si="42"/>
        <v>0</v>
      </c>
      <c r="F60" s="1308">
        <f t="shared" si="43"/>
        <v>0</v>
      </c>
      <c r="G60" s="1308">
        <f t="shared" si="44"/>
        <v>0</v>
      </c>
      <c r="J60" s="1315" t="s">
        <v>320</v>
      </c>
      <c r="K60" s="1309">
        <f>+ARR!I42</f>
        <v>0</v>
      </c>
    </row>
    <row r="61" spans="2:11">
      <c r="B61" s="1301" t="s">
        <v>605</v>
      </c>
      <c r="C61" s="1316">
        <f>+E61/G61</f>
        <v>0</v>
      </c>
      <c r="D61" s="1316">
        <f>+F61/G61</f>
        <v>1</v>
      </c>
      <c r="E61" s="1317">
        <f t="shared" ref="E61:G61" si="45">SUM(E58:E60)</f>
        <v>0</v>
      </c>
      <c r="F61" s="1317">
        <f t="shared" si="45"/>
        <v>0.2431547899367032</v>
      </c>
      <c r="G61" s="1317">
        <f t="shared" si="45"/>
        <v>0.2431547899367032</v>
      </c>
      <c r="J61" s="1301" t="s">
        <v>605</v>
      </c>
      <c r="K61" s="1317">
        <f>SUM(K58:K60)</f>
        <v>0.2431547899367032</v>
      </c>
    </row>
    <row r="62" spans="2:11">
      <c r="B62" s="1318" t="s">
        <v>160</v>
      </c>
      <c r="C62" s="1316">
        <f ca="1">+E62/G62</f>
        <v>0.12061774464737973</v>
      </c>
      <c r="D62" s="1316">
        <f ca="1">+F62/G62</f>
        <v>0.87938225535262016</v>
      </c>
      <c r="E62" s="1317">
        <f t="shared" ref="E62:G62" ca="1" si="46">+E55-E61</f>
        <v>8.4628865178690909</v>
      </c>
      <c r="F62" s="1317">
        <f t="shared" ca="1" si="46"/>
        <v>61.699978345919718</v>
      </c>
      <c r="G62" s="1317">
        <f t="shared" ca="1" si="46"/>
        <v>70.162864863788812</v>
      </c>
      <c r="J62" s="1319" t="s">
        <v>160</v>
      </c>
      <c r="K62" s="1317">
        <f ca="1">+K55-K61</f>
        <v>70.162864863788812</v>
      </c>
    </row>
    <row r="63" spans="2:11">
      <c r="B63" s="1320" t="s">
        <v>2203</v>
      </c>
      <c r="C63" s="1314">
        <v>0.9</v>
      </c>
      <c r="D63" s="1307">
        <f t="shared" ref="D63" si="47">1-C63</f>
        <v>9.9999999999999978E-2</v>
      </c>
      <c r="E63" s="1308">
        <f t="shared" ref="E63" ca="1" si="48">+$K63*C63</f>
        <v>1.0029435458048275</v>
      </c>
      <c r="F63" s="1308">
        <f t="shared" ref="F63" ca="1" si="49">+$K63*D63</f>
        <v>0.11143817175609191</v>
      </c>
      <c r="G63" s="1308">
        <f t="shared" ref="G63" ca="1" si="50">+E63+F63</f>
        <v>1.1143817175609194</v>
      </c>
      <c r="J63" s="1320" t="s">
        <v>2203</v>
      </c>
      <c r="K63" s="1269">
        <f ca="1">-ARR!I53</f>
        <v>1.1143817175609194</v>
      </c>
    </row>
    <row r="64" spans="2:11">
      <c r="B64" s="1318" t="s">
        <v>2204</v>
      </c>
      <c r="C64" s="1316">
        <f ca="1">+E64/G64</f>
        <v>0.13280297034019731</v>
      </c>
      <c r="D64" s="1316">
        <f ca="1">+F64/G64</f>
        <v>0.86719702965980272</v>
      </c>
      <c r="E64" s="1321">
        <f t="shared" ref="E64:G64" ca="1" si="51">+E62+E63</f>
        <v>9.4658300636739181</v>
      </c>
      <c r="F64" s="1321">
        <f t="shared" ca="1" si="51"/>
        <v>61.811416517675809</v>
      </c>
      <c r="G64" s="1321">
        <f t="shared" ca="1" si="51"/>
        <v>71.277246581349729</v>
      </c>
      <c r="J64" s="1318" t="s">
        <v>2204</v>
      </c>
      <c r="K64" s="1321">
        <f ca="1">+K62+K63</f>
        <v>71.277246581349729</v>
      </c>
    </row>
    <row r="65" spans="2:11">
      <c r="B65" s="1319"/>
      <c r="C65" s="1314"/>
      <c r="D65" s="1314"/>
      <c r="E65" s="1088"/>
      <c r="F65" s="1088"/>
      <c r="G65" s="1088"/>
      <c r="J65" s="1319"/>
      <c r="K65" s="1088"/>
    </row>
    <row r="66" spans="2:11">
      <c r="B66" s="1088"/>
      <c r="C66" s="1314"/>
      <c r="D66" s="1314"/>
      <c r="E66" s="1088"/>
      <c r="F66" s="1088"/>
      <c r="G66" s="1088"/>
      <c r="J66" s="1088"/>
      <c r="K66" s="1088"/>
    </row>
    <row r="67" spans="2:11">
      <c r="B67" s="1322"/>
      <c r="C67" s="1314"/>
      <c r="D67" s="1314"/>
      <c r="E67" s="1088"/>
      <c r="F67" s="1088"/>
      <c r="G67" s="1088"/>
      <c r="J67" s="1133"/>
      <c r="K67" s="1088"/>
    </row>
    <row r="68" spans="2:11">
      <c r="B68" s="2109" t="s">
        <v>715</v>
      </c>
      <c r="C68" s="2109"/>
      <c r="D68" s="2109"/>
      <c r="E68" s="2109"/>
      <c r="F68" s="2109"/>
      <c r="G68" s="2109"/>
    </row>
    <row r="69" spans="2:11">
      <c r="B69" s="2112" t="s">
        <v>1411</v>
      </c>
      <c r="C69" s="2113"/>
      <c r="D69" s="2113"/>
      <c r="E69" s="2113"/>
      <c r="F69" s="2113"/>
      <c r="G69" s="2114"/>
      <c r="J69" s="2108" t="s">
        <v>715</v>
      </c>
      <c r="K69" s="2108"/>
    </row>
  </sheetData>
  <mergeCells count="12">
    <mergeCell ref="J36:K36"/>
    <mergeCell ref="B5:B6"/>
    <mergeCell ref="C5:D5"/>
    <mergeCell ref="E5:G5"/>
    <mergeCell ref="B35:G35"/>
    <mergeCell ref="B36:G36"/>
    <mergeCell ref="J69:K69"/>
    <mergeCell ref="B68:G68"/>
    <mergeCell ref="B38:B39"/>
    <mergeCell ref="C38:D38"/>
    <mergeCell ref="E38:G38"/>
    <mergeCell ref="B69:G69"/>
  </mergeCells>
  <printOptions horizontalCentered="1"/>
  <pageMargins left="0.70866141732283472" right="0.70866141732283472" top="0.74803149606299213" bottom="0.74803149606299213" header="0.31496062992125984" footer="0.31496062992125984"/>
  <pageSetup paperSize="5" scale="74" fitToHeight="2" orientation="landscape" r:id="rId1"/>
  <rowBreaks count="1" manualBreakCount="1">
    <brk id="37"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371DE-D8EC-4E56-A801-B1B055E1911B}">
  <sheetPr>
    <tabColor rgb="FF00FFFF"/>
    <pageSetUpPr fitToPage="1"/>
  </sheetPr>
  <dimension ref="A1:AN103"/>
  <sheetViews>
    <sheetView showGridLines="0" view="pageBreakPreview" zoomScale="60" zoomScaleNormal="70" workbookViewId="0">
      <pane xSplit="1" ySplit="5" topLeftCell="B62" activePane="bottomRight" state="frozen"/>
      <selection activeCell="T96" sqref="T96"/>
      <selection pane="topRight" activeCell="T96" sqref="T96"/>
      <selection pane="bottomLeft" activeCell="T96" sqref="T96"/>
      <selection pane="bottomRight" activeCell="AC41" sqref="AC41"/>
    </sheetView>
  </sheetViews>
  <sheetFormatPr defaultRowHeight="21"/>
  <cols>
    <col min="1" max="1" width="66.46484375" style="1324" customWidth="1"/>
    <col min="2" max="2" width="18.86328125" style="1324" bestFit="1" customWidth="1"/>
    <col min="3" max="3" width="27.19921875" style="1324" bestFit="1" customWidth="1"/>
    <col min="4" max="4" width="22.53125" style="1324" customWidth="1"/>
    <col min="5" max="5" width="15.53125" style="1324" customWidth="1"/>
    <col min="6" max="6" width="18" style="1324" customWidth="1"/>
    <col min="7" max="7" width="15.46484375" style="1324" customWidth="1"/>
    <col min="8" max="8" width="14" style="1324" customWidth="1"/>
    <col min="9" max="9" width="15" style="1324" customWidth="1"/>
    <col min="10" max="10" width="16.46484375" style="1324" customWidth="1"/>
    <col min="11" max="11" width="21.19921875" style="1324" hidden="1" customWidth="1"/>
    <col min="12" max="12" width="21" style="1324" hidden="1" customWidth="1"/>
    <col min="13" max="13" width="8.19921875" style="1324" customWidth="1"/>
    <col min="14" max="14" width="52.46484375" style="1324" hidden="1" customWidth="1"/>
    <col min="15" max="15" width="23.19921875" style="1324" hidden="1" customWidth="1"/>
    <col min="16" max="16" width="12.19921875" style="1324" hidden="1" customWidth="1"/>
    <col min="17" max="17" width="10.19921875" style="1324" hidden="1" customWidth="1"/>
    <col min="18" max="18" width="18.46484375" style="1324" hidden="1" customWidth="1"/>
    <col min="19" max="19" width="12.53125" style="1324" hidden="1" customWidth="1"/>
    <col min="20" max="20" width="10.19921875" style="1324" hidden="1" customWidth="1"/>
    <col min="21" max="22" width="0" style="1324" hidden="1" customWidth="1"/>
    <col min="23" max="23" width="46.796875" style="1324" customWidth="1"/>
    <col min="24" max="24" width="16.86328125" style="1324" bestFit="1" customWidth="1"/>
    <col min="25" max="25" width="14.19921875" style="1324" bestFit="1" customWidth="1"/>
    <col min="26" max="26" width="22.86328125" style="1324" bestFit="1" customWidth="1"/>
    <col min="27" max="27" width="21.19921875" style="1324" bestFit="1" customWidth="1"/>
    <col min="28" max="28" width="4.19921875" style="1324" customWidth="1"/>
    <col min="29" max="29" width="23.06640625" style="1324" bestFit="1" customWidth="1"/>
    <col min="30" max="30" width="24.86328125" style="1324" bestFit="1" customWidth="1"/>
    <col min="31" max="31" width="7.796875" style="1324" customWidth="1"/>
    <col min="32" max="32" width="63.9296875" style="1324" bestFit="1" customWidth="1"/>
    <col min="33" max="33" width="16.9296875" style="1324" customWidth="1"/>
    <col min="34" max="37" width="9.06640625" style="1324"/>
    <col min="38" max="39" width="10.9296875" style="1324" bestFit="1" customWidth="1"/>
    <col min="40" max="16384" width="9.06640625" style="1324"/>
  </cols>
  <sheetData>
    <row r="1" spans="1:40" ht="20.75" customHeight="1">
      <c r="A1" s="1323" t="s">
        <v>1912</v>
      </c>
    </row>
    <row r="2" spans="1:40" ht="20.75" customHeight="1">
      <c r="A2" s="1325" t="str">
        <f>+'BS1'!A2</f>
        <v>NIDP DEVELOPERS PRIVATE LIMITED</v>
      </c>
      <c r="C2" s="1326"/>
      <c r="D2" s="1326"/>
      <c r="E2" s="1326"/>
      <c r="F2" s="1326"/>
    </row>
    <row r="3" spans="1:40" ht="20.75" customHeight="1">
      <c r="A3" s="1327" t="s">
        <v>1832</v>
      </c>
      <c r="C3" s="1327"/>
      <c r="D3" s="1327"/>
      <c r="E3" s="1328"/>
      <c r="F3" s="1328"/>
    </row>
    <row r="4" spans="1:40" ht="20.75" customHeight="1" thickBot="1"/>
    <row r="5" spans="1:40" ht="46.25" customHeight="1">
      <c r="A5" s="2124" t="s">
        <v>2207</v>
      </c>
      <c r="B5" s="2124"/>
      <c r="C5" s="2124"/>
      <c r="W5" s="1329" t="s">
        <v>144</v>
      </c>
      <c r="X5" s="1330" t="s">
        <v>1006</v>
      </c>
      <c r="Y5" s="1329" t="s">
        <v>1005</v>
      </c>
      <c r="Z5" s="1330" t="s">
        <v>1615</v>
      </c>
      <c r="AA5" s="1329" t="s">
        <v>1616</v>
      </c>
      <c r="AC5" s="1331" t="s">
        <v>1617</v>
      </c>
      <c r="AD5" s="1331" t="s">
        <v>1618</v>
      </c>
      <c r="AE5" s="2125" t="s">
        <v>1619</v>
      </c>
      <c r="AF5" s="2126"/>
      <c r="AG5" s="2127"/>
    </row>
    <row r="6" spans="1:40" ht="42">
      <c r="A6" s="1332" t="s">
        <v>1620</v>
      </c>
      <c r="B6" s="1333" t="s">
        <v>744</v>
      </c>
      <c r="C6" s="1334">
        <f ca="1">+'F32_Wheeling-Supply'!F64-'F32_Wheeling-Supply'!F41-'F32_Wheeling-Supply'!F42</f>
        <v>3.5372588489146173</v>
      </c>
      <c r="K6" s="1335" t="s">
        <v>1621</v>
      </c>
      <c r="L6" s="1336">
        <v>0</v>
      </c>
      <c r="W6" s="1337" t="s">
        <v>1367</v>
      </c>
      <c r="X6" s="1338">
        <v>3763.7459375465769</v>
      </c>
      <c r="Y6" s="1338">
        <v>4008.7566598343687</v>
      </c>
      <c r="Z6" s="1338">
        <v>3295.1807662489136</v>
      </c>
      <c r="AA6" s="1338">
        <v>3366.9340062383471</v>
      </c>
      <c r="AC6" s="1338">
        <v>550.29371860154788</v>
      </c>
      <c r="AD6" s="1338">
        <v>3213.452218945029</v>
      </c>
      <c r="AE6" s="1339"/>
      <c r="AF6" s="1340" t="s">
        <v>1622</v>
      </c>
      <c r="AG6" s="1341" t="s">
        <v>1623</v>
      </c>
    </row>
    <row r="7" spans="1:40" ht="20.75" customHeight="1">
      <c r="A7" s="1342" t="s">
        <v>1624</v>
      </c>
      <c r="B7" s="1333" t="s">
        <v>198</v>
      </c>
      <c r="C7" s="1334">
        <f>+'Energy Balance'!L8</f>
        <v>100.99122120000001</v>
      </c>
      <c r="D7" s="1324" t="s">
        <v>1625</v>
      </c>
      <c r="W7" s="1337" t="s">
        <v>1368</v>
      </c>
      <c r="X7" s="1338">
        <v>525.31046054047943</v>
      </c>
      <c r="Y7" s="1338">
        <v>373.51030162565121</v>
      </c>
      <c r="Z7" s="1338">
        <v>486.04829147857606</v>
      </c>
      <c r="AA7" s="1338">
        <v>338.2792032406669</v>
      </c>
      <c r="AC7" s="1338">
        <v>233.05529364218108</v>
      </c>
      <c r="AD7" s="1338">
        <v>292.2551668982984</v>
      </c>
      <c r="AE7" s="1343" t="s">
        <v>32</v>
      </c>
      <c r="AF7" s="1344" t="s">
        <v>1626</v>
      </c>
      <c r="AG7" s="1345"/>
    </row>
    <row r="8" spans="1:40" ht="20.75" customHeight="1">
      <c r="A8" s="1342" t="s">
        <v>1627</v>
      </c>
      <c r="B8" s="1333" t="s">
        <v>1628</v>
      </c>
      <c r="C8" s="1346">
        <f ca="1">(C6/C7)*10</f>
        <v>0.35025409207692765</v>
      </c>
      <c r="E8" s="1347"/>
      <c r="H8" s="1348"/>
      <c r="W8" s="1337" t="s">
        <v>1629</v>
      </c>
      <c r="X8" s="1338">
        <v>8639.3857406431907</v>
      </c>
      <c r="Y8" s="1338">
        <v>10864.796970609146</v>
      </c>
      <c r="Z8" s="1338">
        <v>7882.1355665619285</v>
      </c>
      <c r="AA8" s="1338">
        <v>9700.1000238930319</v>
      </c>
      <c r="AC8" s="1338">
        <v>1051.1533352328158</v>
      </c>
      <c r="AD8" s="1338">
        <v>7588.2324054103756</v>
      </c>
      <c r="AE8" s="1349">
        <v>1</v>
      </c>
      <c r="AF8" s="1350" t="s">
        <v>230</v>
      </c>
      <c r="AG8" s="1351"/>
    </row>
    <row r="9" spans="1:40" ht="20.75" customHeight="1">
      <c r="C9" s="1347"/>
      <c r="E9" s="1347"/>
      <c r="H9" s="1348"/>
      <c r="W9" s="1337" t="s">
        <v>1630</v>
      </c>
      <c r="X9" s="1338">
        <v>2121.5421405453062</v>
      </c>
      <c r="Y9" s="1338">
        <v>2798.3332807821739</v>
      </c>
      <c r="Z9" s="1338">
        <v>1894.1249784151446</v>
      </c>
      <c r="AA9" s="1338">
        <v>2482.9315587625997</v>
      </c>
      <c r="AC9" s="1338">
        <v>233.9612302844894</v>
      </c>
      <c r="AD9" s="1338">
        <v>1887.5809102608171</v>
      </c>
      <c r="AE9" s="1349">
        <v>2</v>
      </c>
      <c r="AF9" s="1352" t="s">
        <v>231</v>
      </c>
      <c r="AG9" s="1353"/>
      <c r="AL9" s="1324">
        <f>100</f>
        <v>100</v>
      </c>
      <c r="AM9" s="1324">
        <f>100</f>
        <v>100</v>
      </c>
    </row>
    <row r="10" spans="1:40" s="1354" customFormat="1" ht="42">
      <c r="A10" s="2128" t="s">
        <v>2208</v>
      </c>
      <c r="B10" s="2128"/>
      <c r="C10" s="2128"/>
      <c r="E10" s="1355"/>
      <c r="W10" s="1337" t="s">
        <v>1631</v>
      </c>
      <c r="X10" s="1338">
        <v>442.53789424565474</v>
      </c>
      <c r="Y10" s="1338">
        <v>600.46369900000013</v>
      </c>
      <c r="Z10" s="1338">
        <v>314.92800093112362</v>
      </c>
      <c r="AA10" s="1338">
        <v>408.83204000000006</v>
      </c>
      <c r="AC10" s="1338">
        <v>57.591771549300013</v>
      </c>
      <c r="AD10" s="1338">
        <v>384.94612269635473</v>
      </c>
      <c r="AE10" s="1349">
        <v>3</v>
      </c>
      <c r="AF10" s="1356" t="s">
        <v>232</v>
      </c>
      <c r="AG10" s="1357"/>
      <c r="AL10" s="1358">
        <v>0.01</v>
      </c>
      <c r="AM10" s="1358">
        <v>0.09</v>
      </c>
    </row>
    <row r="11" spans="1:40" ht="20.75" customHeight="1">
      <c r="A11" s="1359" t="s">
        <v>1632</v>
      </c>
      <c r="B11" s="1360" t="s">
        <v>744</v>
      </c>
      <c r="C11" s="1361">
        <f>+'F32_Wheeling-Supply'!G42</f>
        <v>0.79</v>
      </c>
      <c r="E11" s="1347"/>
      <c r="W11" s="1337" t="s">
        <v>1633</v>
      </c>
      <c r="X11" s="1338">
        <v>145.36918815266782</v>
      </c>
      <c r="Y11" s="1338">
        <v>210.204306</v>
      </c>
      <c r="Z11" s="1338">
        <v>198.30095082234504</v>
      </c>
      <c r="AA11" s="1338">
        <v>288.84370666666666</v>
      </c>
      <c r="AC11" s="1338">
        <v>17.642046061800002</v>
      </c>
      <c r="AD11" s="1338">
        <v>127.72714209086782</v>
      </c>
      <c r="AE11" s="1349">
        <v>4</v>
      </c>
      <c r="AF11" s="1362" t="s">
        <v>233</v>
      </c>
      <c r="AG11" s="1363"/>
      <c r="AL11" s="1364">
        <f>AL9/(1-AL10)</f>
        <v>101.01010101010101</v>
      </c>
      <c r="AM11" s="1364">
        <f>AM9/(1-AM10)</f>
        <v>109.89010989010988</v>
      </c>
      <c r="AN11" s="1365"/>
    </row>
    <row r="12" spans="1:40" ht="20.75" customHeight="1">
      <c r="A12" s="1342" t="s">
        <v>1634</v>
      </c>
      <c r="B12" s="1333" t="s">
        <v>198</v>
      </c>
      <c r="C12" s="1366">
        <f>C7</f>
        <v>100.99122120000001</v>
      </c>
      <c r="E12" s="1347"/>
      <c r="W12" s="1337" t="s">
        <v>1635</v>
      </c>
      <c r="X12" s="1338">
        <v>0</v>
      </c>
      <c r="Y12" s="1338">
        <v>0</v>
      </c>
      <c r="Z12" s="1338">
        <v>78.140933333333336</v>
      </c>
      <c r="AA12" s="1338">
        <v>72.109333333333339</v>
      </c>
      <c r="AC12" s="1338">
        <v>0</v>
      </c>
      <c r="AD12" s="1338">
        <v>0</v>
      </c>
      <c r="AE12" s="1367">
        <v>5</v>
      </c>
      <c r="AF12" s="1368" t="s">
        <v>1636</v>
      </c>
      <c r="AG12" s="1369"/>
      <c r="AL12" s="1370">
        <v>0.03</v>
      </c>
      <c r="AM12" s="1370"/>
    </row>
    <row r="13" spans="1:40" ht="20.75" customHeight="1">
      <c r="A13" s="1342" t="s">
        <v>1637</v>
      </c>
      <c r="B13" s="1333" t="s">
        <v>1628</v>
      </c>
      <c r="C13" s="1371">
        <f>C11/C12*10</f>
        <v>7.8224620973293066E-2</v>
      </c>
      <c r="W13" s="1337" t="s">
        <v>1638</v>
      </c>
      <c r="X13" s="1338">
        <v>0</v>
      </c>
      <c r="Y13" s="1338">
        <v>0</v>
      </c>
      <c r="Z13" s="1338">
        <v>0</v>
      </c>
      <c r="AA13" s="1338">
        <v>0</v>
      </c>
      <c r="AC13" s="1338">
        <v>0</v>
      </c>
      <c r="AD13" s="1338">
        <v>0</v>
      </c>
      <c r="AE13" s="1343"/>
      <c r="AF13" s="1372"/>
      <c r="AG13" s="1345"/>
      <c r="AL13" s="1364">
        <f>AL11/(1-AL12)</f>
        <v>104.13412475268146</v>
      </c>
      <c r="AM13" s="1364"/>
    </row>
    <row r="14" spans="1:40" ht="20.75" customHeight="1">
      <c r="H14" s="1348"/>
      <c r="W14" s="1337" t="s">
        <v>1148</v>
      </c>
      <c r="X14" s="1338">
        <v>108.86573088885714</v>
      </c>
      <c r="Y14" s="1338">
        <v>127.56378020000001</v>
      </c>
      <c r="Z14" s="1338">
        <v>106.60175912243108</v>
      </c>
      <c r="AA14" s="1338">
        <v>119.16161333333334</v>
      </c>
      <c r="AC14" s="1338">
        <v>15.74417134285714</v>
      </c>
      <c r="AD14" s="1338">
        <v>93.121559546</v>
      </c>
      <c r="AE14" s="1343" t="s">
        <v>33</v>
      </c>
      <c r="AF14" s="1344" t="s">
        <v>1639</v>
      </c>
      <c r="AG14" s="1345"/>
    </row>
    <row r="15" spans="1:40" ht="48" customHeight="1">
      <c r="A15" s="2124" t="s">
        <v>2209</v>
      </c>
      <c r="B15" s="2124"/>
      <c r="C15" s="2124"/>
      <c r="W15" s="1337" t="s">
        <v>1369</v>
      </c>
      <c r="X15" s="1338">
        <v>360.67871608749999</v>
      </c>
      <c r="Y15" s="1338">
        <v>383.40571299999999</v>
      </c>
      <c r="Z15" s="1338">
        <v>303.77186272200004</v>
      </c>
      <c r="AA15" s="1338">
        <v>321.5953614</v>
      </c>
      <c r="AC15" s="1338">
        <v>34.783860037500006</v>
      </c>
      <c r="AD15" s="1338">
        <v>325.89485604999999</v>
      </c>
      <c r="AE15" s="1349">
        <v>1</v>
      </c>
      <c r="AF15" s="1350" t="s">
        <v>230</v>
      </c>
      <c r="AG15" s="1351"/>
    </row>
    <row r="16" spans="1:40" ht="20.75" customHeight="1">
      <c r="A16" s="1342" t="s">
        <v>1640</v>
      </c>
      <c r="B16" s="1333" t="s">
        <v>744</v>
      </c>
      <c r="C16" s="1334">
        <v>0</v>
      </c>
      <c r="D16" s="1324" t="s">
        <v>1641</v>
      </c>
      <c r="W16" s="1337" t="s">
        <v>1642</v>
      </c>
      <c r="X16" s="1338">
        <v>314.29802687070003</v>
      </c>
      <c r="Y16" s="1338">
        <v>338.04321400000003</v>
      </c>
      <c r="Z16" s="1338">
        <v>329.14238311800005</v>
      </c>
      <c r="AA16" s="1338">
        <v>355.39195980000005</v>
      </c>
      <c r="AC16" s="1338">
        <v>30.341727110699999</v>
      </c>
      <c r="AD16" s="1338">
        <v>283.95629976000004</v>
      </c>
      <c r="AE16" s="1349">
        <v>2</v>
      </c>
      <c r="AF16" s="1352" t="s">
        <v>231</v>
      </c>
      <c r="AG16" s="1353"/>
    </row>
    <row r="17" spans="1:33" ht="20.75" customHeight="1">
      <c r="A17" s="1342" t="s">
        <v>1634</v>
      </c>
      <c r="B17" s="1333" t="s">
        <v>198</v>
      </c>
      <c r="C17" s="1334">
        <f>C12</f>
        <v>100.99122120000001</v>
      </c>
      <c r="W17" s="1337" t="s">
        <v>1643</v>
      </c>
      <c r="X17" s="1338">
        <v>3.3354749999999997</v>
      </c>
      <c r="Y17" s="1338">
        <v>0</v>
      </c>
      <c r="Z17" s="1338">
        <v>0</v>
      </c>
      <c r="AA17" s="1338">
        <v>0</v>
      </c>
      <c r="AC17" s="1338">
        <v>0</v>
      </c>
      <c r="AD17" s="1338">
        <v>0</v>
      </c>
      <c r="AE17" s="1349">
        <v>3</v>
      </c>
      <c r="AF17" s="1356" t="s">
        <v>232</v>
      </c>
      <c r="AG17" s="1357"/>
    </row>
    <row r="18" spans="1:33" ht="20.75" customHeight="1">
      <c r="A18" s="1342" t="s">
        <v>1644</v>
      </c>
      <c r="B18" s="1333" t="s">
        <v>1628</v>
      </c>
      <c r="C18" s="1346">
        <f>C16/C17*10</f>
        <v>0</v>
      </c>
      <c r="AE18" s="1349">
        <v>4</v>
      </c>
      <c r="AF18" s="1362" t="s">
        <v>233</v>
      </c>
      <c r="AG18" s="1363"/>
    </row>
    <row r="19" spans="1:33" ht="20.75" customHeight="1">
      <c r="C19" s="1373"/>
      <c r="AE19" s="1367">
        <v>5</v>
      </c>
      <c r="AF19" s="1368" t="s">
        <v>1645</v>
      </c>
      <c r="AG19" s="1369"/>
    </row>
    <row r="20" spans="1:33" ht="20.75" customHeight="1">
      <c r="A20" s="2129" t="s">
        <v>2210</v>
      </c>
      <c r="B20" s="2129"/>
      <c r="C20" s="2129"/>
      <c r="AE20" s="1343"/>
      <c r="AF20" s="1372"/>
      <c r="AG20" s="1345"/>
    </row>
    <row r="21" spans="1:33" ht="20.75" customHeight="1">
      <c r="A21" s="1342" t="s">
        <v>1646</v>
      </c>
      <c r="B21" s="1333" t="s">
        <v>744</v>
      </c>
      <c r="C21" s="1334">
        <f ca="1">+'F32_Wheeling-Supply'!E64</f>
        <v>9.4658300636739181</v>
      </c>
      <c r="AE21" s="1343" t="s">
        <v>39</v>
      </c>
      <c r="AF21" s="1344" t="s">
        <v>1647</v>
      </c>
      <c r="AG21" s="1345"/>
    </row>
    <row r="22" spans="1:33" ht="20.75" customHeight="1">
      <c r="A22" s="1342" t="s">
        <v>1624</v>
      </c>
      <c r="B22" s="1333" t="s">
        <v>198</v>
      </c>
      <c r="C22" s="1334">
        <f>C17</f>
        <v>100.99122120000001</v>
      </c>
      <c r="AE22" s="1349">
        <v>1</v>
      </c>
      <c r="AF22" s="1350" t="s">
        <v>230</v>
      </c>
      <c r="AG22" s="1351"/>
    </row>
    <row r="23" spans="1:33" ht="20.75" customHeight="1">
      <c r="A23" s="1342" t="s">
        <v>1648</v>
      </c>
      <c r="B23" s="1333" t="s">
        <v>1628</v>
      </c>
      <c r="C23" s="1346">
        <f ca="1">C21/C22*10</f>
        <v>0.93729236573227181</v>
      </c>
      <c r="AE23" s="1349">
        <v>2</v>
      </c>
      <c r="AF23" s="1352" t="s">
        <v>231</v>
      </c>
      <c r="AG23" s="1353"/>
    </row>
    <row r="24" spans="1:33" ht="20.75" customHeight="1">
      <c r="AE24" s="1349">
        <v>3</v>
      </c>
      <c r="AF24" s="1356" t="s">
        <v>232</v>
      </c>
      <c r="AG24" s="1374"/>
    </row>
    <row r="25" spans="1:33" ht="20.75" customHeight="1">
      <c r="A25" s="2124" t="s">
        <v>1725</v>
      </c>
      <c r="B25" s="2124"/>
      <c r="C25" s="2124"/>
      <c r="AE25" s="1349">
        <v>4</v>
      </c>
      <c r="AF25" s="1362" t="s">
        <v>233</v>
      </c>
      <c r="AG25" s="1363"/>
    </row>
    <row r="26" spans="1:33" ht="20.75" customHeight="1">
      <c r="A26" s="2124"/>
      <c r="B26" s="2124"/>
      <c r="C26" s="2124"/>
      <c r="AE26" s="1367">
        <v>5</v>
      </c>
      <c r="AF26" s="1368" t="s">
        <v>1649</v>
      </c>
      <c r="AG26" s="1369"/>
    </row>
    <row r="27" spans="1:33" ht="20.75" customHeight="1">
      <c r="A27" s="1342" t="s">
        <v>1726</v>
      </c>
      <c r="B27" s="1333" t="s">
        <v>1628</v>
      </c>
      <c r="C27" s="1375">
        <f>C13+C18</f>
        <v>7.8224620973293066E-2</v>
      </c>
      <c r="D27" s="1376" t="s">
        <v>1650</v>
      </c>
      <c r="AE27" s="1343"/>
      <c r="AF27" s="1368"/>
      <c r="AG27" s="1345"/>
    </row>
    <row r="28" spans="1:33" ht="37.15" customHeight="1">
      <c r="A28" s="1332" t="s">
        <v>1651</v>
      </c>
      <c r="B28" s="1333" t="s">
        <v>1628</v>
      </c>
      <c r="C28" s="1346">
        <f ca="1">C8+C13+C18+C23</f>
        <v>1.3657710787824926</v>
      </c>
      <c r="AE28" s="1343" t="s">
        <v>40</v>
      </c>
      <c r="AF28" s="1344" t="s">
        <v>1652</v>
      </c>
      <c r="AG28" s="1345"/>
    </row>
    <row r="29" spans="1:33" ht="20.75" customHeight="1">
      <c r="A29" s="1377" t="s">
        <v>1653</v>
      </c>
      <c r="B29" s="1378" t="s">
        <v>1628</v>
      </c>
      <c r="C29" s="1379">
        <f ca="1">C8+C13+C18+C23</f>
        <v>1.3657710787824926</v>
      </c>
      <c r="AE29" s="1343"/>
      <c r="AF29" s="1344"/>
      <c r="AG29" s="1345"/>
    </row>
    <row r="30" spans="1:33" ht="20.75" customHeight="1">
      <c r="A30" s="1380" t="s">
        <v>2246</v>
      </c>
      <c r="B30" s="1333" t="s">
        <v>1628</v>
      </c>
      <c r="C30" s="1346">
        <f ca="1">C8+C13+C18+C23</f>
        <v>1.3657710787824926</v>
      </c>
      <c r="AE30" s="1343"/>
      <c r="AF30" s="1344"/>
      <c r="AG30" s="1345"/>
    </row>
    <row r="31" spans="1:33" ht="66.849999999999994" customHeight="1">
      <c r="A31" s="1342" t="s">
        <v>1654</v>
      </c>
      <c r="B31" s="1333" t="s">
        <v>1628</v>
      </c>
      <c r="C31" s="1381">
        <f ca="1">C8+C13+C18+C23</f>
        <v>1.3657710787824926</v>
      </c>
      <c r="F31" s="2140" t="s">
        <v>2211</v>
      </c>
      <c r="G31" s="2140"/>
      <c r="H31" s="1376"/>
      <c r="I31" s="1376"/>
      <c r="AE31" s="1349">
        <v>1</v>
      </c>
      <c r="AF31" s="1356" t="s">
        <v>230</v>
      </c>
      <c r="AG31" s="1374"/>
    </row>
    <row r="32" spans="1:33" ht="46.9" customHeight="1">
      <c r="A32" s="2134" t="s">
        <v>1655</v>
      </c>
      <c r="B32" s="2134"/>
      <c r="F32" s="1382" t="s">
        <v>2024</v>
      </c>
      <c r="G32" s="1382" t="s">
        <v>2182</v>
      </c>
      <c r="H32" s="1383"/>
      <c r="I32" s="1383"/>
      <c r="J32" s="1383"/>
      <c r="K32" s="1383"/>
      <c r="L32" s="1383"/>
      <c r="M32" s="1383"/>
      <c r="AE32" s="1349">
        <v>2</v>
      </c>
      <c r="AF32" s="1352" t="s">
        <v>231</v>
      </c>
      <c r="AG32" s="1353"/>
    </row>
    <row r="33" spans="1:33" ht="20.75" customHeight="1">
      <c r="A33" s="1384" t="s">
        <v>10</v>
      </c>
      <c r="B33" s="1385" t="s">
        <v>1656</v>
      </c>
      <c r="F33" s="1382" t="s">
        <v>1657</v>
      </c>
      <c r="G33" s="1382" t="s">
        <v>1658</v>
      </c>
      <c r="H33" s="1383"/>
      <c r="I33" s="1383"/>
      <c r="J33" s="1383"/>
      <c r="K33" s="1383"/>
      <c r="L33" s="1383"/>
      <c r="AE33" s="1349">
        <v>3</v>
      </c>
      <c r="AF33" s="1356" t="s">
        <v>232</v>
      </c>
      <c r="AG33" s="1374"/>
    </row>
    <row r="34" spans="1:33" ht="20.75" customHeight="1">
      <c r="A34" s="1386" t="s">
        <v>1659</v>
      </c>
      <c r="B34" s="1387">
        <v>0</v>
      </c>
      <c r="F34" s="1342" t="s">
        <v>1660</v>
      </c>
      <c r="G34" s="1388"/>
      <c r="H34" s="1389"/>
      <c r="I34" s="1389"/>
      <c r="J34" s="1389"/>
      <c r="K34" s="1389"/>
      <c r="L34" s="1389"/>
      <c r="AE34" s="1349">
        <v>4</v>
      </c>
      <c r="AF34" s="1362" t="s">
        <v>233</v>
      </c>
      <c r="AG34" s="1363"/>
    </row>
    <row r="35" spans="1:33" ht="20.75" customHeight="1">
      <c r="A35" s="1386" t="s">
        <v>1661</v>
      </c>
      <c r="B35" s="1387">
        <v>3.1800000000000002E-2</v>
      </c>
      <c r="E35" s="1390">
        <v>100</v>
      </c>
      <c r="F35" s="1342" t="s">
        <v>1662</v>
      </c>
      <c r="G35" s="1388"/>
      <c r="H35" s="1389"/>
      <c r="I35" s="1389"/>
      <c r="J35" s="1389"/>
      <c r="K35" s="1389"/>
      <c r="L35" s="1389"/>
      <c r="AE35" s="1367">
        <v>5</v>
      </c>
      <c r="AF35" s="1368" t="s">
        <v>1663</v>
      </c>
      <c r="AG35" s="1369"/>
    </row>
    <row r="36" spans="1:33" ht="20.75" customHeight="1">
      <c r="A36" s="1386" t="s">
        <v>1664</v>
      </c>
      <c r="B36" s="1391">
        <v>0</v>
      </c>
      <c r="E36" s="1390">
        <f>E35/(1-B36)</f>
        <v>100</v>
      </c>
      <c r="F36" s="1342" t="s">
        <v>1665</v>
      </c>
      <c r="G36" s="1388"/>
      <c r="H36" s="1389"/>
      <c r="I36" s="1389"/>
      <c r="J36" s="1389"/>
      <c r="K36" s="1389"/>
      <c r="L36" s="1389"/>
      <c r="AE36" s="1343"/>
      <c r="AF36" s="1368"/>
      <c r="AG36" s="1345"/>
    </row>
    <row r="37" spans="1:33" ht="20.75" customHeight="1">
      <c r="A37" s="1380" t="s">
        <v>1666</v>
      </c>
      <c r="B37" s="1391">
        <v>0</v>
      </c>
      <c r="E37" s="1390">
        <f>E36/(1-B37)</f>
        <v>100</v>
      </c>
      <c r="F37" s="1342" t="s">
        <v>1667</v>
      </c>
      <c r="G37" s="2135">
        <f>+B38</f>
        <v>9.882727312036866E-3</v>
      </c>
      <c r="H37" s="1389"/>
      <c r="I37" s="1392"/>
      <c r="J37" s="1389"/>
      <c r="K37" s="1389"/>
      <c r="L37" s="1389"/>
      <c r="AE37" s="1343" t="s">
        <v>41</v>
      </c>
      <c r="AF37" s="1344" t="s">
        <v>236</v>
      </c>
      <c r="AG37" s="1345"/>
    </row>
    <row r="38" spans="1:33" ht="20.75" customHeight="1">
      <c r="A38" s="1380" t="s">
        <v>1668</v>
      </c>
      <c r="B38" s="1391">
        <f>+'Energy Balance'!L11</f>
        <v>9.882727312036866E-3</v>
      </c>
      <c r="E38" s="1390">
        <f>E37/(1-B38)</f>
        <v>100.99813704746381</v>
      </c>
      <c r="F38" s="1342" t="s">
        <v>1669</v>
      </c>
      <c r="G38" s="2135"/>
      <c r="H38" s="1389"/>
      <c r="I38" s="1392"/>
      <c r="J38" s="1389"/>
      <c r="K38" s="1389"/>
      <c r="L38" s="1389"/>
      <c r="AE38" s="1349">
        <v>1</v>
      </c>
      <c r="AF38" s="1356" t="s">
        <v>230</v>
      </c>
      <c r="AG38" s="1374"/>
    </row>
    <row r="39" spans="1:33" ht="40.9" customHeight="1">
      <c r="A39" s="1466" t="s">
        <v>1670</v>
      </c>
      <c r="B39" s="1387"/>
      <c r="E39" s="1393">
        <f>E38-E35</f>
        <v>0.99813704746381404</v>
      </c>
      <c r="F39" s="1382" t="s">
        <v>18</v>
      </c>
      <c r="G39" s="1394"/>
      <c r="H39" s="1395"/>
      <c r="I39" s="1395"/>
      <c r="J39" s="1395"/>
      <c r="K39" s="1395"/>
      <c r="L39" s="1395"/>
      <c r="AE39" s="1349">
        <v>2</v>
      </c>
      <c r="AF39" s="1352" t="s">
        <v>231</v>
      </c>
      <c r="AG39" s="1353"/>
    </row>
    <row r="40" spans="1:33" ht="20.75" customHeight="1">
      <c r="E40" s="1376"/>
      <c r="F40" s="1376"/>
      <c r="G40" s="1376"/>
      <c r="AE40" s="1349">
        <v>3</v>
      </c>
      <c r="AF40" s="1362" t="s">
        <v>233</v>
      </c>
      <c r="AG40" s="1363"/>
    </row>
    <row r="41" spans="1:33" ht="27.4" customHeight="1">
      <c r="A41" s="2136" t="s">
        <v>1671</v>
      </c>
      <c r="B41" s="2136"/>
      <c r="C41" s="2136"/>
      <c r="D41" s="2136"/>
      <c r="AE41" s="1349">
        <v>4</v>
      </c>
      <c r="AF41" s="1344" t="s">
        <v>1672</v>
      </c>
      <c r="AG41" s="1369"/>
    </row>
    <row r="42" spans="1:33" ht="20.75" customHeight="1">
      <c r="A42" s="1384" t="s">
        <v>10</v>
      </c>
      <c r="B42" s="1384" t="s">
        <v>34</v>
      </c>
      <c r="C42" s="1384" t="s">
        <v>702</v>
      </c>
      <c r="D42" s="1384" t="s">
        <v>1623</v>
      </c>
      <c r="AE42" s="1367">
        <v>5</v>
      </c>
      <c r="AF42" s="1368"/>
      <c r="AG42" s="1345"/>
    </row>
    <row r="43" spans="1:33" ht="20.75" customHeight="1">
      <c r="A43" s="1380" t="s">
        <v>1673</v>
      </c>
      <c r="B43" s="1380" t="s">
        <v>198</v>
      </c>
      <c r="C43" s="1380" t="s">
        <v>32</v>
      </c>
      <c r="D43" s="1396">
        <f>+C7</f>
        <v>100.99122120000001</v>
      </c>
      <c r="AE43" s="1343" t="s">
        <v>42</v>
      </c>
      <c r="AF43" s="1344" t="s">
        <v>1674</v>
      </c>
      <c r="AG43" s="1345"/>
    </row>
    <row r="44" spans="1:33" ht="20.75" customHeight="1">
      <c r="A44" s="1380" t="s">
        <v>1675</v>
      </c>
      <c r="B44" s="1380" t="s">
        <v>35</v>
      </c>
      <c r="C44" s="1380" t="s">
        <v>33</v>
      </c>
      <c r="D44" s="1397">
        <f>+B38</f>
        <v>9.882727312036866E-3</v>
      </c>
      <c r="AE44" s="1349">
        <v>1</v>
      </c>
      <c r="AF44" s="1368" t="s">
        <v>239</v>
      </c>
      <c r="AG44" s="1398"/>
    </row>
    <row r="45" spans="1:33" ht="20.75" customHeight="1">
      <c r="A45" s="1380" t="s">
        <v>1676</v>
      </c>
      <c r="B45" s="1380" t="s">
        <v>198</v>
      </c>
      <c r="C45" s="1380" t="s">
        <v>1677</v>
      </c>
      <c r="D45" s="1396">
        <f>D43/(1-D44)</f>
        <v>101.99925199348334</v>
      </c>
      <c r="AE45" s="1349">
        <v>2</v>
      </c>
      <c r="AF45" s="1368" t="s">
        <v>1678</v>
      </c>
      <c r="AG45" s="1398"/>
    </row>
    <row r="46" spans="1:33" ht="20.75" customHeight="1" thickBot="1">
      <c r="A46" s="1380" t="s">
        <v>1679</v>
      </c>
      <c r="B46" s="1380" t="s">
        <v>35</v>
      </c>
      <c r="C46" s="1380" t="s">
        <v>40</v>
      </c>
      <c r="D46" s="1397">
        <f>B35</f>
        <v>3.1800000000000002E-2</v>
      </c>
      <c r="AE46" s="1399">
        <v>3</v>
      </c>
      <c r="AF46" s="1400" t="s">
        <v>1680</v>
      </c>
      <c r="AG46" s="1401"/>
    </row>
    <row r="47" spans="1:33" ht="20.75" customHeight="1">
      <c r="A47" s="1380" t="s">
        <v>1681</v>
      </c>
      <c r="B47" s="1380" t="s">
        <v>198</v>
      </c>
      <c r="C47" s="1380" t="s">
        <v>1682</v>
      </c>
      <c r="D47" s="1396">
        <f>D45/(1-D46)</f>
        <v>105.34936169539696</v>
      </c>
    </row>
    <row r="48" spans="1:33" ht="20.75" customHeight="1">
      <c r="A48" s="1380" t="s">
        <v>1683</v>
      </c>
      <c r="B48" s="1380" t="s">
        <v>35</v>
      </c>
      <c r="C48" s="1380" t="s">
        <v>1684</v>
      </c>
      <c r="D48" s="1402">
        <f>1-D47/D49</f>
        <v>0</v>
      </c>
      <c r="F48" s="1403" t="s">
        <v>1685</v>
      </c>
    </row>
    <row r="49" spans="1:7" ht="20.75" customHeight="1">
      <c r="A49" s="1380" t="s">
        <v>1686</v>
      </c>
      <c r="B49" s="1380" t="s">
        <v>198</v>
      </c>
      <c r="C49" s="1380" t="s">
        <v>90</v>
      </c>
      <c r="D49" s="1404">
        <f>+D47</f>
        <v>105.34936169539696</v>
      </c>
    </row>
    <row r="50" spans="1:7">
      <c r="A50" s="1405"/>
      <c r="B50" s="1405"/>
      <c r="C50" s="1405"/>
      <c r="D50" s="1406"/>
      <c r="E50" s="1407"/>
    </row>
    <row r="51" spans="1:7" ht="21.4" thickBot="1">
      <c r="D51" s="1407"/>
      <c r="E51" s="1407"/>
    </row>
    <row r="52" spans="1:7" ht="23.75" customHeight="1" thickBot="1">
      <c r="A52" s="1408" t="s">
        <v>10</v>
      </c>
      <c r="B52" s="1409" t="s">
        <v>34</v>
      </c>
      <c r="C52" s="1409" t="s">
        <v>354</v>
      </c>
      <c r="D52" s="1410" t="s">
        <v>1623</v>
      </c>
      <c r="E52" s="1407"/>
    </row>
    <row r="53" spans="1:7" ht="23.75" customHeight="1">
      <c r="A53" s="1411" t="s">
        <v>1673</v>
      </c>
      <c r="B53" s="1412" t="s">
        <v>198</v>
      </c>
      <c r="C53" s="1413" t="s">
        <v>32</v>
      </c>
      <c r="D53" s="1414">
        <f>+C7</f>
        <v>100.99122120000001</v>
      </c>
      <c r="E53" s="1407"/>
    </row>
    <row r="54" spans="1:7" ht="23.75" customHeight="1">
      <c r="A54" s="1415" t="s">
        <v>1675</v>
      </c>
      <c r="B54" s="1416" t="s">
        <v>35</v>
      </c>
      <c r="C54" s="1417" t="s">
        <v>33</v>
      </c>
      <c r="D54" s="1418">
        <f>+B38</f>
        <v>9.882727312036866E-3</v>
      </c>
      <c r="E54" s="1407"/>
    </row>
    <row r="55" spans="1:7" ht="23.75" customHeight="1">
      <c r="A55" s="1415" t="s">
        <v>1676</v>
      </c>
      <c r="B55" s="1416" t="s">
        <v>198</v>
      </c>
      <c r="C55" s="1417" t="s">
        <v>1677</v>
      </c>
      <c r="D55" s="1419">
        <f>+D53/(1-D54)</f>
        <v>101.99925199348334</v>
      </c>
      <c r="E55" s="1407"/>
    </row>
    <row r="56" spans="1:7" ht="23.75" customHeight="1">
      <c r="A56" s="1415" t="s">
        <v>1679</v>
      </c>
      <c r="B56" s="1416" t="s">
        <v>35</v>
      </c>
      <c r="C56" s="1417" t="s">
        <v>40</v>
      </c>
      <c r="D56" s="1418">
        <f>+B35</f>
        <v>3.1800000000000002E-2</v>
      </c>
      <c r="E56" s="1407"/>
    </row>
    <row r="57" spans="1:7" ht="23.75" customHeight="1">
      <c r="A57" s="1420" t="s">
        <v>1687</v>
      </c>
      <c r="B57" s="1421" t="s">
        <v>198</v>
      </c>
      <c r="C57" s="1422" t="s">
        <v>1682</v>
      </c>
      <c r="D57" s="1419">
        <f>+D55/(1-D56)</f>
        <v>105.34936169539696</v>
      </c>
      <c r="E57" s="1407"/>
    </row>
    <row r="58" spans="1:7" ht="48" customHeight="1">
      <c r="A58" s="1467" t="s">
        <v>1688</v>
      </c>
      <c r="B58" s="1423" t="s">
        <v>198</v>
      </c>
      <c r="C58" s="1424" t="s">
        <v>42</v>
      </c>
      <c r="D58" s="1425">
        <f>+F1_PP_Annual!J706</f>
        <v>105.34936169539698</v>
      </c>
      <c r="E58" s="1407"/>
    </row>
    <row r="59" spans="1:7" ht="48" customHeight="1">
      <c r="A59" s="1468" t="s">
        <v>1689</v>
      </c>
      <c r="B59" s="1426" t="s">
        <v>198</v>
      </c>
      <c r="C59" s="1427" t="s">
        <v>1690</v>
      </c>
      <c r="D59" s="1425">
        <v>0</v>
      </c>
      <c r="E59" s="1407"/>
      <c r="F59" s="2137" t="s">
        <v>1728</v>
      </c>
      <c r="G59" s="2137"/>
    </row>
    <row r="60" spans="1:7" ht="48" customHeight="1">
      <c r="A60" s="1468" t="s">
        <v>1691</v>
      </c>
      <c r="B60" s="1426" t="s">
        <v>35</v>
      </c>
      <c r="C60" s="1427" t="s">
        <v>91</v>
      </c>
      <c r="D60" s="1418">
        <v>0</v>
      </c>
      <c r="E60" s="1428">
        <v>0</v>
      </c>
      <c r="F60" s="1429">
        <f>D60</f>
        <v>0</v>
      </c>
      <c r="G60" s="1429">
        <f>D48</f>
        <v>0</v>
      </c>
    </row>
    <row r="61" spans="1:7" ht="60" customHeight="1" thickBot="1">
      <c r="A61" s="1469" t="s">
        <v>1692</v>
      </c>
      <c r="B61" s="1430" t="s">
        <v>198</v>
      </c>
      <c r="C61" s="1431" t="s">
        <v>1693</v>
      </c>
      <c r="D61" s="1419">
        <v>0</v>
      </c>
      <c r="E61" s="1407"/>
    </row>
    <row r="62" spans="1:7" ht="34.9" customHeight="1" thickBot="1">
      <c r="A62" s="1470" t="s">
        <v>1686</v>
      </c>
      <c r="B62" s="1432" t="s">
        <v>198</v>
      </c>
      <c r="C62" s="1433" t="s">
        <v>1694</v>
      </c>
      <c r="D62" s="1414">
        <f>+D58+D61</f>
        <v>105.34936169539698</v>
      </c>
      <c r="E62" s="1407"/>
    </row>
    <row r="63" spans="1:7">
      <c r="D63" s="1434"/>
      <c r="E63" s="1407"/>
    </row>
    <row r="64" spans="1:7" ht="20.350000000000001" customHeight="1">
      <c r="A64" s="1435" t="s">
        <v>10</v>
      </c>
      <c r="B64" s="1436" t="s">
        <v>34</v>
      </c>
      <c r="C64" s="1436" t="s">
        <v>354</v>
      </c>
      <c r="D64" s="1437" t="s">
        <v>1623</v>
      </c>
      <c r="E64" s="1407"/>
    </row>
    <row r="65" spans="1:11" ht="20.350000000000001" customHeight="1">
      <c r="A65" s="1342" t="s">
        <v>2214</v>
      </c>
      <c r="B65" s="1342" t="s">
        <v>548</v>
      </c>
      <c r="C65" s="1342" t="s">
        <v>32</v>
      </c>
      <c r="D65" s="1438">
        <f ca="1">+ARR!I44</f>
        <v>70.162864863788812</v>
      </c>
      <c r="E65" s="1407"/>
    </row>
    <row r="66" spans="1:11" ht="37.5" customHeight="1">
      <c r="A66" s="1332" t="s">
        <v>2217</v>
      </c>
      <c r="B66" s="1342" t="s">
        <v>548</v>
      </c>
      <c r="C66" s="1342" t="s">
        <v>33</v>
      </c>
      <c r="D66" s="1438">
        <f ca="1">-ARR!I54+ARR!I50</f>
        <v>10.494260008705657</v>
      </c>
      <c r="E66" s="1407"/>
    </row>
    <row r="67" spans="1:11" ht="20.350000000000001" customHeight="1">
      <c r="A67" s="1342" t="s">
        <v>2215</v>
      </c>
      <c r="B67" s="1342" t="s">
        <v>548</v>
      </c>
      <c r="C67" s="1342" t="s">
        <v>2218</v>
      </c>
      <c r="D67" s="1439">
        <f ca="1">+D65+D66</f>
        <v>80.657124872494464</v>
      </c>
      <c r="E67" s="1407"/>
    </row>
    <row r="68" spans="1:11" ht="20.350000000000001" customHeight="1">
      <c r="A68" s="1342" t="s">
        <v>1673</v>
      </c>
      <c r="B68" s="1342" t="s">
        <v>198</v>
      </c>
      <c r="C68" s="1342" t="s">
        <v>40</v>
      </c>
      <c r="D68" s="1438">
        <f>+D53</f>
        <v>100.99122120000001</v>
      </c>
      <c r="E68" s="1407"/>
    </row>
    <row r="69" spans="1:11" ht="20.350000000000001" customHeight="1">
      <c r="A69" s="1342" t="s">
        <v>2216</v>
      </c>
      <c r="B69" s="1342" t="s">
        <v>596</v>
      </c>
      <c r="C69" s="1342" t="s">
        <v>41</v>
      </c>
      <c r="D69" s="1438">
        <f ca="1">+D67/D68*10</f>
        <v>7.9865481290461373</v>
      </c>
      <c r="E69" s="1407"/>
    </row>
    <row r="70" spans="1:11">
      <c r="D70" s="1407"/>
      <c r="E70" s="1407"/>
    </row>
    <row r="71" spans="1:11" ht="14.55" customHeight="1">
      <c r="A71" s="2138" t="s">
        <v>1695</v>
      </c>
      <c r="B71" s="2138"/>
      <c r="C71" s="2138"/>
      <c r="D71" s="2138"/>
    </row>
    <row r="72" spans="1:11">
      <c r="A72" s="2139"/>
      <c r="B72" s="2139"/>
      <c r="C72" s="2139"/>
      <c r="D72" s="2139"/>
    </row>
    <row r="73" spans="1:11">
      <c r="A73" s="2139"/>
      <c r="B73" s="2139"/>
      <c r="C73" s="2139"/>
      <c r="D73" s="2139"/>
    </row>
    <row r="75" spans="1:11">
      <c r="A75" s="2130" t="s">
        <v>2212</v>
      </c>
      <c r="B75" s="2131"/>
      <c r="C75" s="2131"/>
      <c r="D75" s="2131"/>
      <c r="E75" s="2131"/>
      <c r="F75" s="2131"/>
      <c r="G75" s="2131"/>
      <c r="H75" s="2131"/>
      <c r="I75" s="2131"/>
      <c r="J75" s="2132"/>
    </row>
    <row r="76" spans="1:11" ht="105">
      <c r="A76" s="1440" t="s">
        <v>1366</v>
      </c>
      <c r="B76" s="1441" t="s">
        <v>1696</v>
      </c>
      <c r="C76" s="1441" t="s">
        <v>1697</v>
      </c>
      <c r="D76" s="1442" t="s">
        <v>1698</v>
      </c>
      <c r="E76" s="1441" t="s">
        <v>1699</v>
      </c>
      <c r="F76" s="1441" t="s">
        <v>1700</v>
      </c>
      <c r="G76" s="1441" t="s">
        <v>1701</v>
      </c>
      <c r="H76" s="1441" t="s">
        <v>1702</v>
      </c>
      <c r="I76" s="1442" t="s">
        <v>1703</v>
      </c>
      <c r="J76" s="1441" t="s">
        <v>1704</v>
      </c>
    </row>
    <row r="77" spans="1:11" ht="23.35" customHeight="1">
      <c r="A77" s="1380" t="s">
        <v>1705</v>
      </c>
      <c r="B77" s="1443">
        <f>C27</f>
        <v>7.8224620973293066E-2</v>
      </c>
      <c r="C77" s="1396">
        <f>E77-D77</f>
        <v>0</v>
      </c>
      <c r="D77" s="1396">
        <f>(F1_PP_Annual!L639+F1_PP_Annual!N639+F1_PP_Annual!L699)/F1_PP_Annual!J706*10</f>
        <v>5.4565264320223061</v>
      </c>
      <c r="E77" s="1396">
        <f>+(F1_PP_Annual!O706-F1_PP_Annual!O680)/F1_PP_Annual!J706*10</f>
        <v>5.4565264320223061</v>
      </c>
      <c r="F77" s="1444">
        <f>$E$60</f>
        <v>0</v>
      </c>
      <c r="G77" s="1444">
        <f>$D$46</f>
        <v>3.1800000000000002E-2</v>
      </c>
      <c r="H77" s="1444">
        <f>+B38</f>
        <v>9.882727312036866E-3</v>
      </c>
      <c r="I77" s="1396">
        <f ca="1">-SUM(ARR!G53:I53)/C7*10</f>
        <v>0.19990168507874007</v>
      </c>
      <c r="J77" s="1396">
        <f ca="1">(E77/((1-H77)*(1-F77)*((1-G77)))+B77+I77)</f>
        <v>5.9701218068214779</v>
      </c>
      <c r="K77" s="1324" t="b">
        <f ca="1">J77=J91</f>
        <v>1</v>
      </c>
    </row>
    <row r="78" spans="1:11" ht="23.35" customHeight="1">
      <c r="A78" s="1380" t="s">
        <v>1706</v>
      </c>
      <c r="B78" s="1443">
        <f ca="1">C28</f>
        <v>1.3657710787824926</v>
      </c>
      <c r="C78" s="1396">
        <f>E78-D78</f>
        <v>0</v>
      </c>
      <c r="D78" s="1396">
        <f>+D77</f>
        <v>5.4565264320223061</v>
      </c>
      <c r="E78" s="1396">
        <f>+E77</f>
        <v>5.4565264320223061</v>
      </c>
      <c r="F78" s="1444">
        <f t="shared" ref="F78:F81" si="0">$E$60</f>
        <v>0</v>
      </c>
      <c r="G78" s="1444">
        <f t="shared" ref="G78:G81" si="1">$D$46</f>
        <v>3.1800000000000002E-2</v>
      </c>
      <c r="H78" s="1444">
        <f>+H77</f>
        <v>9.882727312036866E-3</v>
      </c>
      <c r="I78" s="1396">
        <f ca="1">+I77</f>
        <v>0.19990168507874007</v>
      </c>
      <c r="J78" s="1396">
        <f t="shared" ref="J78:J81" ca="1" si="2">(E78/((1-H78)*(1-F78)*((1-G78)))+B78+I78)</f>
        <v>7.257668264630678</v>
      </c>
      <c r="K78" s="1324" t="b">
        <f ca="1">J78=J92</f>
        <v>1</v>
      </c>
    </row>
    <row r="79" spans="1:11" s="1449" customFormat="1" ht="23.35" customHeight="1">
      <c r="A79" s="1445" t="s">
        <v>1707</v>
      </c>
      <c r="B79" s="1446">
        <f ca="1">C29</f>
        <v>1.3657710787824926</v>
      </c>
      <c r="C79" s="1447">
        <f>E79-D79</f>
        <v>0</v>
      </c>
      <c r="D79" s="1396">
        <f t="shared" ref="D79:D81" si="3">+D78</f>
        <v>5.4565264320223061</v>
      </c>
      <c r="E79" s="1396">
        <f t="shared" ref="E79:E81" si="4">+E78</f>
        <v>5.4565264320223061</v>
      </c>
      <c r="F79" s="1448">
        <f t="shared" si="0"/>
        <v>0</v>
      </c>
      <c r="G79" s="1448">
        <f t="shared" si="1"/>
        <v>3.1800000000000002E-2</v>
      </c>
      <c r="H79" s="1444">
        <f t="shared" ref="H79:H81" si="5">+H78</f>
        <v>9.882727312036866E-3</v>
      </c>
      <c r="I79" s="1396">
        <f t="shared" ref="I79:I81" ca="1" si="6">+I78</f>
        <v>0.19990168507874007</v>
      </c>
      <c r="J79" s="1447">
        <f t="shared" ca="1" si="2"/>
        <v>7.257668264630678</v>
      </c>
      <c r="K79" s="1449" t="b">
        <f ca="1">J79=J93</f>
        <v>1</v>
      </c>
    </row>
    <row r="80" spans="1:11" ht="23.35" customHeight="1">
      <c r="A80" s="1380" t="s">
        <v>1727</v>
      </c>
      <c r="B80" s="1443">
        <f ca="1">C30</f>
        <v>1.3657710787824926</v>
      </c>
      <c r="C80" s="1396">
        <f>E80-D80</f>
        <v>0</v>
      </c>
      <c r="D80" s="1396">
        <f t="shared" si="3"/>
        <v>5.4565264320223061</v>
      </c>
      <c r="E80" s="1396">
        <f t="shared" si="4"/>
        <v>5.4565264320223061</v>
      </c>
      <c r="F80" s="1444">
        <f t="shared" si="0"/>
        <v>0</v>
      </c>
      <c r="G80" s="1444">
        <f t="shared" si="1"/>
        <v>3.1800000000000002E-2</v>
      </c>
      <c r="H80" s="1444">
        <f t="shared" si="5"/>
        <v>9.882727312036866E-3</v>
      </c>
      <c r="I80" s="1396">
        <f t="shared" ca="1" si="6"/>
        <v>0.19990168507874007</v>
      </c>
      <c r="J80" s="1396">
        <f t="shared" ca="1" si="2"/>
        <v>7.257668264630678</v>
      </c>
      <c r="K80" s="1324" t="b">
        <f ca="1">J80=J94</f>
        <v>1</v>
      </c>
    </row>
    <row r="81" spans="1:12" ht="23.35" customHeight="1">
      <c r="A81" s="1380" t="s">
        <v>1708</v>
      </c>
      <c r="B81" s="1443">
        <f ca="1">C31</f>
        <v>1.3657710787824926</v>
      </c>
      <c r="C81" s="1396">
        <f>E81-D81</f>
        <v>0</v>
      </c>
      <c r="D81" s="1396">
        <f t="shared" si="3"/>
        <v>5.4565264320223061</v>
      </c>
      <c r="E81" s="1396">
        <f t="shared" si="4"/>
        <v>5.4565264320223061</v>
      </c>
      <c r="F81" s="1444">
        <f t="shared" si="0"/>
        <v>0</v>
      </c>
      <c r="G81" s="1444">
        <f t="shared" si="1"/>
        <v>3.1800000000000002E-2</v>
      </c>
      <c r="H81" s="1444">
        <f t="shared" si="5"/>
        <v>9.882727312036866E-3</v>
      </c>
      <c r="I81" s="1396">
        <f t="shared" ca="1" si="6"/>
        <v>0.19990168507874007</v>
      </c>
      <c r="J81" s="1396">
        <f t="shared" ca="1" si="2"/>
        <v>7.257668264630678</v>
      </c>
      <c r="K81" s="1324" t="b">
        <f ca="1">J81=J95</f>
        <v>1</v>
      </c>
    </row>
    <row r="83" spans="1:12">
      <c r="A83" s="2133" t="s">
        <v>2213</v>
      </c>
      <c r="B83" s="2133"/>
      <c r="C83" s="2133"/>
      <c r="D83" s="2133"/>
      <c r="E83" s="2133"/>
      <c r="F83" s="2133"/>
    </row>
    <row r="84" spans="1:12" ht="105">
      <c r="A84" s="1440" t="s">
        <v>1366</v>
      </c>
      <c r="B84" s="1441" t="s">
        <v>1709</v>
      </c>
      <c r="C84" s="1441" t="s">
        <v>1710</v>
      </c>
      <c r="D84" s="1441" t="s">
        <v>1711</v>
      </c>
      <c r="E84" s="1441" t="s">
        <v>1712</v>
      </c>
      <c r="F84" s="1442" t="s">
        <v>1713</v>
      </c>
      <c r="G84" s="1450" t="s">
        <v>1714</v>
      </c>
    </row>
    <row r="85" spans="1:12" ht="20.75" customHeight="1">
      <c r="A85" s="1380" t="str">
        <f>+'ESR2_Sales Forecast'!B11</f>
        <v>HV– 1: NON - INDUSTRIAL BULK LOADS</v>
      </c>
      <c r="B85" s="1396">
        <f>+'ESR4_Prop Tariff'!O10/'ESR4_Prop Tariff'!D10*10</f>
        <v>8.7456515192212212</v>
      </c>
      <c r="C85" s="1396">
        <f>+B85</f>
        <v>8.7456515192212212</v>
      </c>
      <c r="D85" s="1396">
        <f ca="1">J81</f>
        <v>7.257668264630678</v>
      </c>
      <c r="E85" s="1451">
        <f ca="1">C85-D85</f>
        <v>1.4879832545905431</v>
      </c>
      <c r="F85" s="1451">
        <f ca="1">IF(E85&gt;0, MIN((20%*C85),E85),0)</f>
        <v>1.4879832545905431</v>
      </c>
      <c r="G85" s="1451">
        <f ca="1">+F85</f>
        <v>1.4879832545905431</v>
      </c>
      <c r="J85" s="1347"/>
      <c r="K85" s="1347"/>
      <c r="L85" s="1347"/>
    </row>
    <row r="86" spans="1:12" ht="20.75" customHeight="1">
      <c r="A86" s="1380" t="str">
        <f>+'ESR2_Sales Forecast'!B12</f>
        <v>HV-2 -LARGE AND HEAVY POWER</v>
      </c>
      <c r="B86" s="1396">
        <f>+'ESR4_Prop Tariff'!O11/'ESR4_Prop Tariff'!D11*10</f>
        <v>7.5846144061566543</v>
      </c>
      <c r="C86" s="1396">
        <f t="shared" ref="C86:C87" si="7">+B86</f>
        <v>7.5846144061566543</v>
      </c>
      <c r="D86" s="1452">
        <f ca="1">J80</f>
        <v>7.257668264630678</v>
      </c>
      <c r="E86" s="1451">
        <f t="shared" ref="E86" ca="1" si="8">C86-D86</f>
        <v>0.32694614152597623</v>
      </c>
      <c r="F86" s="1451">
        <f t="shared" ref="F86:F87" ca="1" si="9">IF(E86&gt;0, MIN((20%*C86),E86),0)</f>
        <v>0.32694614152597623</v>
      </c>
      <c r="G86" s="1451">
        <f t="shared" ref="G86:G87" ca="1" si="10">+F86</f>
        <v>0.32694614152597623</v>
      </c>
      <c r="J86" s="1347"/>
      <c r="K86" s="1347"/>
      <c r="L86" s="1347"/>
    </row>
    <row r="87" spans="1:12" ht="20.75" customHeight="1">
      <c r="A87" s="1380" t="str">
        <f>+'ESR2_Sales Forecast'!B13</f>
        <v>LMV – 9: TEMPORARY SUPPLY</v>
      </c>
      <c r="B87" s="1396">
        <f>IFERROR(+'ESR4_Prop Tariff'!O12/'ESR4_Prop Tariff'!D12*10,0)</f>
        <v>0</v>
      </c>
      <c r="C87" s="1396">
        <f t="shared" si="7"/>
        <v>0</v>
      </c>
      <c r="D87" s="1396">
        <f ca="1">J81</f>
        <v>7.257668264630678</v>
      </c>
      <c r="E87" s="1451">
        <f>IF(B87=0,0,C87-D87)</f>
        <v>0</v>
      </c>
      <c r="F87" s="1451">
        <f t="shared" si="9"/>
        <v>0</v>
      </c>
      <c r="G87" s="1451">
        <f t="shared" si="10"/>
        <v>0</v>
      </c>
      <c r="J87" s="1347"/>
      <c r="K87" s="1347"/>
      <c r="L87" s="1347"/>
    </row>
    <row r="89" spans="1:12" ht="105">
      <c r="A89" s="1453" t="s">
        <v>1366</v>
      </c>
      <c r="B89" s="1454" t="s">
        <v>1696</v>
      </c>
      <c r="C89" s="1454" t="s">
        <v>1715</v>
      </c>
      <c r="D89" s="1454" t="s">
        <v>1698</v>
      </c>
      <c r="E89" s="1454" t="s">
        <v>1716</v>
      </c>
      <c r="F89" s="1454" t="s">
        <v>1717</v>
      </c>
      <c r="G89" s="1454" t="s">
        <v>1718</v>
      </c>
      <c r="H89" s="1454" t="s">
        <v>1702</v>
      </c>
      <c r="I89" s="1454" t="s">
        <v>1703</v>
      </c>
      <c r="J89" s="1454" t="s">
        <v>1719</v>
      </c>
    </row>
    <row r="90" spans="1:12">
      <c r="A90" s="1453"/>
      <c r="B90" s="1454"/>
      <c r="C90" s="1454"/>
      <c r="D90" s="1455"/>
      <c r="E90" s="1455"/>
      <c r="F90" s="1454"/>
      <c r="G90" s="1454"/>
      <c r="H90" s="1454"/>
      <c r="I90" s="1454"/>
      <c r="J90" s="1454"/>
    </row>
    <row r="91" spans="1:12" ht="24" customHeight="1">
      <c r="A91" s="1380" t="s">
        <v>1705</v>
      </c>
      <c r="B91" s="1443">
        <f>B77</f>
        <v>7.8224620973293066E-2</v>
      </c>
      <c r="C91" s="1443">
        <f>E91-D91</f>
        <v>0</v>
      </c>
      <c r="D91" s="1443">
        <f t="shared" ref="D91:H95" si="11">D77</f>
        <v>5.4565264320223061</v>
      </c>
      <c r="E91" s="1443">
        <f t="shared" si="11"/>
        <v>5.4565264320223061</v>
      </c>
      <c r="F91" s="1456">
        <f t="shared" si="11"/>
        <v>0</v>
      </c>
      <c r="G91" s="1456">
        <f t="shared" si="11"/>
        <v>3.1800000000000002E-2</v>
      </c>
      <c r="H91" s="1456">
        <f t="shared" si="11"/>
        <v>9.882727312036866E-3</v>
      </c>
      <c r="I91" s="1443">
        <f ca="1">-SUM(ARR!G53:I53)/C7*10</f>
        <v>0.19990168507874007</v>
      </c>
      <c r="J91" s="1443">
        <f ca="1">(E91/((1-H91)*(1-F91)*((1-G91)))+B91+I91)</f>
        <v>5.9701218068214779</v>
      </c>
    </row>
    <row r="92" spans="1:12" ht="24" customHeight="1">
      <c r="A92" s="1380" t="s">
        <v>1706</v>
      </c>
      <c r="B92" s="1443">
        <f ca="1">B78</f>
        <v>1.3657710787824926</v>
      </c>
      <c r="C92" s="1443">
        <f>E92-D92</f>
        <v>0</v>
      </c>
      <c r="D92" s="1443">
        <f t="shared" si="11"/>
        <v>5.4565264320223061</v>
      </c>
      <c r="E92" s="1443">
        <f t="shared" si="11"/>
        <v>5.4565264320223061</v>
      </c>
      <c r="F92" s="1456">
        <f t="shared" si="11"/>
        <v>0</v>
      </c>
      <c r="G92" s="1456">
        <f t="shared" si="11"/>
        <v>3.1800000000000002E-2</v>
      </c>
      <c r="H92" s="1456">
        <f t="shared" si="11"/>
        <v>9.882727312036866E-3</v>
      </c>
      <c r="I92" s="1443">
        <f ca="1">+I91</f>
        <v>0.19990168507874007</v>
      </c>
      <c r="J92" s="1443">
        <f ca="1">(E92/((1-H92)*(1-F92)*((1-G92)))+B92+I92)</f>
        <v>7.257668264630678</v>
      </c>
    </row>
    <row r="93" spans="1:12" ht="24" customHeight="1">
      <c r="A93" s="1445" t="s">
        <v>1707</v>
      </c>
      <c r="B93" s="1443">
        <f ca="1">B79</f>
        <v>1.3657710787824926</v>
      </c>
      <c r="C93" s="1443">
        <f>E93-D93</f>
        <v>0</v>
      </c>
      <c r="D93" s="1443">
        <f t="shared" si="11"/>
        <v>5.4565264320223061</v>
      </c>
      <c r="E93" s="1443">
        <f t="shared" si="11"/>
        <v>5.4565264320223061</v>
      </c>
      <c r="F93" s="1456">
        <f t="shared" si="11"/>
        <v>0</v>
      </c>
      <c r="G93" s="1456">
        <f t="shared" si="11"/>
        <v>3.1800000000000002E-2</v>
      </c>
      <c r="H93" s="1456">
        <f t="shared" si="11"/>
        <v>9.882727312036866E-3</v>
      </c>
      <c r="I93" s="1443">
        <f t="shared" ref="I93:I95" ca="1" si="12">+I92</f>
        <v>0.19990168507874007</v>
      </c>
      <c r="J93" s="1443">
        <f ca="1">(E93/((1-H93)*(1-F93)*((1-G93)))+B93+I93)</f>
        <v>7.257668264630678</v>
      </c>
    </row>
    <row r="94" spans="1:12" ht="24" customHeight="1">
      <c r="A94" s="1380" t="s">
        <v>1727</v>
      </c>
      <c r="B94" s="1443">
        <f ca="1">B80</f>
        <v>1.3657710787824926</v>
      </c>
      <c r="C94" s="1443">
        <f>E94-D94</f>
        <v>0</v>
      </c>
      <c r="D94" s="1443">
        <f t="shared" si="11"/>
        <v>5.4565264320223061</v>
      </c>
      <c r="E94" s="1443">
        <f t="shared" si="11"/>
        <v>5.4565264320223061</v>
      </c>
      <c r="F94" s="1456">
        <f t="shared" si="11"/>
        <v>0</v>
      </c>
      <c r="G94" s="1456">
        <f t="shared" si="11"/>
        <v>3.1800000000000002E-2</v>
      </c>
      <c r="H94" s="1456">
        <f t="shared" si="11"/>
        <v>9.882727312036866E-3</v>
      </c>
      <c r="I94" s="1443">
        <f t="shared" ca="1" si="12"/>
        <v>0.19990168507874007</v>
      </c>
      <c r="J94" s="1443">
        <f ca="1">(E94/((1-H94)*(1-F94)*((1-G94)))+B94+I94)</f>
        <v>7.257668264630678</v>
      </c>
    </row>
    <row r="95" spans="1:12" ht="24" customHeight="1">
      <c r="A95" s="1380" t="s">
        <v>1708</v>
      </c>
      <c r="B95" s="1443">
        <f ca="1">B81</f>
        <v>1.3657710787824926</v>
      </c>
      <c r="C95" s="1443">
        <f>E95-D95</f>
        <v>0</v>
      </c>
      <c r="D95" s="1443">
        <f t="shared" si="11"/>
        <v>5.4565264320223061</v>
      </c>
      <c r="E95" s="1443">
        <f t="shared" si="11"/>
        <v>5.4565264320223061</v>
      </c>
      <c r="F95" s="1456">
        <f t="shared" si="11"/>
        <v>0</v>
      </c>
      <c r="G95" s="1456">
        <f t="shared" si="11"/>
        <v>3.1800000000000002E-2</v>
      </c>
      <c r="H95" s="1456">
        <f t="shared" si="11"/>
        <v>9.882727312036866E-3</v>
      </c>
      <c r="I95" s="1443">
        <f t="shared" ca="1" si="12"/>
        <v>0.19990168507874007</v>
      </c>
      <c r="J95" s="1443">
        <f ca="1">(E95/((1-H95)*(1-F95)*((1-G95)))+B95+I95)</f>
        <v>7.257668264630678</v>
      </c>
    </row>
    <row r="96" spans="1:12">
      <c r="A96" s="1457" t="s">
        <v>1720</v>
      </c>
      <c r="B96" s="1457"/>
      <c r="C96" s="1457"/>
      <c r="D96" s="1457"/>
      <c r="E96" s="1457"/>
      <c r="F96" s="1457"/>
      <c r="G96" s="1457"/>
      <c r="I96" s="1457"/>
      <c r="J96" s="1457"/>
    </row>
    <row r="98" spans="1:15">
      <c r="A98" s="1458"/>
      <c r="B98" s="1459"/>
      <c r="C98" s="1460" t="s">
        <v>1174</v>
      </c>
      <c r="D98" s="1460">
        <f ca="1">+D69</f>
        <v>7.9865481290461373</v>
      </c>
      <c r="E98" s="1459"/>
      <c r="F98" s="1459"/>
      <c r="G98" s="1459"/>
      <c r="H98" s="1459"/>
      <c r="I98" s="1461"/>
      <c r="J98" s="1461"/>
    </row>
    <row r="99" spans="1:15">
      <c r="A99" s="1462" t="s">
        <v>1732</v>
      </c>
      <c r="B99" s="1459"/>
      <c r="C99" s="1459"/>
      <c r="D99" s="1459"/>
      <c r="E99" s="1459"/>
      <c r="F99" s="1459"/>
      <c r="G99" s="1459"/>
      <c r="H99" s="1459"/>
      <c r="I99" s="1461"/>
      <c r="J99" s="1461"/>
      <c r="M99" s="1461"/>
      <c r="N99" s="1461"/>
      <c r="O99" s="1461"/>
    </row>
    <row r="100" spans="1:15" ht="168">
      <c r="A100" s="1453" t="s">
        <v>1366</v>
      </c>
      <c r="B100" s="1454" t="s">
        <v>1729</v>
      </c>
      <c r="C100" s="1454" t="s">
        <v>1005</v>
      </c>
      <c r="D100" s="1454" t="s">
        <v>1721</v>
      </c>
      <c r="E100" s="1454" t="s">
        <v>1722</v>
      </c>
      <c r="F100" s="1454" t="s">
        <v>1712</v>
      </c>
      <c r="G100" s="1454" t="s">
        <v>1730</v>
      </c>
      <c r="H100" s="1463" t="s">
        <v>1731</v>
      </c>
      <c r="I100" s="1454" t="s">
        <v>1723</v>
      </c>
      <c r="J100" s="1454" t="s">
        <v>1724</v>
      </c>
    </row>
    <row r="101" spans="1:15" ht="20.75" customHeight="1">
      <c r="A101" s="1464" t="str">
        <f>+A85</f>
        <v>HV– 1: NON - INDUSTRIAL BULK LOADS</v>
      </c>
      <c r="B101" s="1443"/>
      <c r="C101" s="1443">
        <f>+'ESR4_Prop Tariff'!D10</f>
        <v>0.26060999999999995</v>
      </c>
      <c r="D101" s="1443">
        <f>+'ESR4_Prop Tariff'!O10/'ESR4_Prop Tariff'!D10*10</f>
        <v>8.7456515192212212</v>
      </c>
      <c r="E101" s="1443">
        <f ca="1">J95</f>
        <v>7.257668264630678</v>
      </c>
      <c r="F101" s="1451">
        <f ca="1">D101-E101</f>
        <v>1.4879832545905431</v>
      </c>
      <c r="G101" s="1465">
        <f ca="1">IF(F101&gt;0, MIN((20%*$D$98),F101),0)</f>
        <v>1.4879832545905431</v>
      </c>
      <c r="H101" s="2115" t="s">
        <v>2062</v>
      </c>
      <c r="I101" s="2116"/>
      <c r="J101" s="2117"/>
    </row>
    <row r="102" spans="1:15" ht="20.75" customHeight="1">
      <c r="A102" s="1464" t="str">
        <f t="shared" ref="A102:A103" si="13">+A86</f>
        <v>HV-2 -LARGE AND HEAVY POWER</v>
      </c>
      <c r="B102" s="1443"/>
      <c r="C102" s="1443">
        <f>+'ESR4_Prop Tariff'!D11</f>
        <v>100.7306112</v>
      </c>
      <c r="D102" s="1443">
        <f>+'ESR4_Prop Tariff'!O11/'ESR4_Prop Tariff'!D11*10</f>
        <v>7.5846144061566543</v>
      </c>
      <c r="E102" s="1443">
        <f ca="1">J94</f>
        <v>7.257668264630678</v>
      </c>
      <c r="F102" s="1451">
        <f t="shared" ref="F102" ca="1" si="14">D102-E102</f>
        <v>0.32694614152597623</v>
      </c>
      <c r="G102" s="1465">
        <f t="shared" ref="G102:G103" ca="1" si="15">IF(F102&gt;0, MIN((20%*$D$98),F102),0)</f>
        <v>0.32694614152597623</v>
      </c>
      <c r="H102" s="2118"/>
      <c r="I102" s="2119"/>
      <c r="J102" s="2120"/>
    </row>
    <row r="103" spans="1:15" ht="20.75" customHeight="1">
      <c r="A103" s="1464" t="str">
        <f t="shared" si="13"/>
        <v>LMV – 9: TEMPORARY SUPPLY</v>
      </c>
      <c r="B103" s="1443"/>
      <c r="C103" s="1443">
        <f>+'ESR4_Prop Tariff'!D12</f>
        <v>0</v>
      </c>
      <c r="D103" s="1443">
        <f>+IFERROR('ESR4_Prop Tariff'!O12/'ESR4_Prop Tariff'!D12*10,0)</f>
        <v>0</v>
      </c>
      <c r="E103" s="1443">
        <f ca="1">J95</f>
        <v>7.257668264630678</v>
      </c>
      <c r="F103" s="1451">
        <f>IF(C103=0,0,D103-E103)</f>
        <v>0</v>
      </c>
      <c r="G103" s="1465">
        <f t="shared" si="15"/>
        <v>0</v>
      </c>
      <c r="H103" s="2121"/>
      <c r="I103" s="2122"/>
      <c r="J103" s="2123"/>
    </row>
  </sheetData>
  <mergeCells count="15">
    <mergeCell ref="H101:J103"/>
    <mergeCell ref="A25:C26"/>
    <mergeCell ref="A5:C5"/>
    <mergeCell ref="AE5:AG5"/>
    <mergeCell ref="A10:C10"/>
    <mergeCell ref="A15:C15"/>
    <mergeCell ref="A20:C20"/>
    <mergeCell ref="A75:J75"/>
    <mergeCell ref="A83:F83"/>
    <mergeCell ref="A32:B32"/>
    <mergeCell ref="G37:G38"/>
    <mergeCell ref="A41:D41"/>
    <mergeCell ref="F59:G59"/>
    <mergeCell ref="A71:D73"/>
    <mergeCell ref="F31:G31"/>
  </mergeCells>
  <dataValidations disablePrompts="1" count="1">
    <dataValidation type="list" allowBlank="1" showInputMessage="1" showErrorMessage="1" sqref="E60" xr:uid="{17A2C0BF-8B38-4367-A394-7B17C662D3A8}">
      <formula1>$F$60:$G$60</formula1>
    </dataValidation>
  </dataValidations>
  <printOptions horizontalCentered="1"/>
  <pageMargins left="0.51181102362204722" right="0.51181102362204722" top="0.55118110236220474" bottom="0.55118110236220474" header="0.31496062992125984" footer="0.31496062992125984"/>
  <pageSetup paperSize="8" scale="39" fitToHeight="2" orientation="landscape" r:id="rId1"/>
  <rowBreaks count="1" manualBreakCount="1">
    <brk id="73" max="32" man="1"/>
  </rowBreaks>
  <colBreaks count="2" manualBreakCount="2">
    <brk id="13" max="102" man="1"/>
    <brk id="30" max="102"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00FFFF"/>
  </sheetPr>
  <dimension ref="A1:D16"/>
  <sheetViews>
    <sheetView view="pageBreakPreview" topLeftCell="A5" zoomScale="130" zoomScaleNormal="100" zoomScaleSheetLayoutView="130" workbookViewId="0">
      <selection activeCell="D12" sqref="D12"/>
    </sheetView>
  </sheetViews>
  <sheetFormatPr defaultRowHeight="14.25"/>
  <cols>
    <col min="1" max="1" width="8.19921875" customWidth="1"/>
    <col min="2" max="3" width="11" customWidth="1"/>
    <col min="4" max="4" width="32" customWidth="1"/>
  </cols>
  <sheetData>
    <row r="1" spans="1:4">
      <c r="A1" s="219" t="s">
        <v>1853</v>
      </c>
      <c r="B1" s="219"/>
      <c r="C1" s="219"/>
      <c r="D1" s="219"/>
    </row>
    <row r="2" spans="1:4">
      <c r="A2" s="241" t="str">
        <f>+'BS1'!A2</f>
        <v>NIDP DEVELOPERS PRIVATE LIMITED</v>
      </c>
      <c r="B2" s="39"/>
      <c r="C2" s="39"/>
      <c r="D2" s="39"/>
    </row>
    <row r="3" spans="1:4">
      <c r="A3" s="279" t="s">
        <v>1838</v>
      </c>
      <c r="B3" s="279"/>
      <c r="C3" s="279"/>
      <c r="D3" s="279"/>
    </row>
    <row r="4" spans="1:4">
      <c r="A4" s="159"/>
      <c r="B4" s="159"/>
      <c r="C4" s="159"/>
      <c r="D4" s="159"/>
    </row>
    <row r="5" spans="1:4">
      <c r="A5" s="2144" t="s">
        <v>999</v>
      </c>
      <c r="B5" s="2144"/>
      <c r="C5" s="2144"/>
      <c r="D5" s="2144"/>
    </row>
    <row r="6" spans="1:4" ht="28.5">
      <c r="A6" s="214" t="s">
        <v>8</v>
      </c>
      <c r="B6" s="214" t="s">
        <v>10</v>
      </c>
      <c r="C6" s="182" t="s">
        <v>1000</v>
      </c>
      <c r="D6" s="214"/>
    </row>
    <row r="7" spans="1:4">
      <c r="A7" s="487">
        <v>1</v>
      </c>
      <c r="B7" s="2141" t="s">
        <v>998</v>
      </c>
      <c r="C7" s="487" t="s">
        <v>340</v>
      </c>
      <c r="D7" s="2145" t="s">
        <v>2062</v>
      </c>
    </row>
    <row r="8" spans="1:4">
      <c r="A8" s="101">
        <v>2</v>
      </c>
      <c r="B8" s="2142"/>
      <c r="C8" s="101" t="s">
        <v>341</v>
      </c>
      <c r="D8" s="2146"/>
    </row>
    <row r="9" spans="1:4">
      <c r="A9" s="101">
        <v>3</v>
      </c>
      <c r="B9" s="2142"/>
      <c r="C9" s="101" t="s">
        <v>342</v>
      </c>
      <c r="D9" s="2147"/>
    </row>
    <row r="10" spans="1:4">
      <c r="A10" s="101">
        <v>4</v>
      </c>
      <c r="B10" s="101" t="s">
        <v>358</v>
      </c>
      <c r="C10" s="101" t="s">
        <v>343</v>
      </c>
      <c r="D10" s="914">
        <f>+'Energy Balance'!I11</f>
        <v>1.8706145291897115E-2</v>
      </c>
    </row>
    <row r="11" spans="1:4">
      <c r="A11" s="101">
        <v>5</v>
      </c>
      <c r="B11" s="101" t="s">
        <v>344</v>
      </c>
      <c r="C11" s="101" t="s">
        <v>1442</v>
      </c>
      <c r="D11" s="914">
        <f>+'Energy Balance'!K11</f>
        <v>9.8827273120369683E-3</v>
      </c>
    </row>
    <row r="12" spans="1:4">
      <c r="A12" s="101">
        <v>6</v>
      </c>
      <c r="B12" s="2143" t="s">
        <v>31</v>
      </c>
      <c r="C12" s="101" t="s">
        <v>2024</v>
      </c>
      <c r="D12" s="914">
        <f>+'Energy Balance'!L11</f>
        <v>9.882727312036866E-3</v>
      </c>
    </row>
    <row r="13" spans="1:4">
      <c r="A13" s="101">
        <v>7</v>
      </c>
      <c r="B13" s="2143"/>
      <c r="C13" s="101" t="s">
        <v>1001</v>
      </c>
      <c r="D13" s="1"/>
    </row>
    <row r="14" spans="1:4">
      <c r="A14" s="101">
        <v>8</v>
      </c>
      <c r="B14" s="2143"/>
      <c r="C14" s="101" t="s">
        <v>1001</v>
      </c>
      <c r="D14" s="1"/>
    </row>
    <row r="15" spans="1:4">
      <c r="A15" s="101">
        <v>9</v>
      </c>
      <c r="B15" s="2143"/>
      <c r="C15" s="101" t="s">
        <v>1001</v>
      </c>
      <c r="D15" s="1"/>
    </row>
    <row r="16" spans="1:4">
      <c r="A16" s="101">
        <v>10</v>
      </c>
      <c r="B16" s="2143"/>
      <c r="C16" s="101" t="s">
        <v>1001</v>
      </c>
      <c r="D16" s="1"/>
    </row>
  </sheetData>
  <mergeCells count="4">
    <mergeCell ref="B7:B9"/>
    <mergeCell ref="B12:B16"/>
    <mergeCell ref="A5:D5"/>
    <mergeCell ref="D7:D9"/>
  </mergeCells>
  <printOptions horizontalCentered="1"/>
  <pageMargins left="0.70866141732283472" right="0.70866141732283472" top="0.74803149606299213" bottom="0.74803149606299213" header="0.31496062992125984" footer="0.31496062992125984"/>
  <pageSetup paperSize="5" scale="13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tabColor rgb="FF00FFFF"/>
  </sheetPr>
  <dimension ref="A1:H37"/>
  <sheetViews>
    <sheetView showGridLines="0" view="pageBreakPreview" zoomScale="98" zoomScaleNormal="100" zoomScaleSheetLayoutView="98" workbookViewId="0">
      <selection activeCell="K26" sqref="K26"/>
    </sheetView>
  </sheetViews>
  <sheetFormatPr defaultRowHeight="14.25"/>
  <cols>
    <col min="1" max="1" width="2.9296875" style="3" customWidth="1"/>
    <col min="2" max="2" width="4.796875" style="3" customWidth="1"/>
    <col min="3" max="3" width="32.265625" style="21" customWidth="1"/>
    <col min="4" max="4" width="11.86328125" style="3" customWidth="1"/>
    <col min="5" max="5" width="9.86328125" style="3" bestFit="1" customWidth="1"/>
    <col min="6" max="6" width="10.53125" style="3" customWidth="1"/>
    <col min="7" max="7" width="10.86328125" style="3" customWidth="1"/>
    <col min="8" max="8" width="7.86328125" style="3" bestFit="1" customWidth="1"/>
    <col min="9" max="248" width="9.19921875" style="3"/>
    <col min="249" max="249" width="5" style="3" customWidth="1"/>
    <col min="250" max="250" width="5.796875" style="3" customWidth="1"/>
    <col min="251" max="251" width="40.53125" style="3" customWidth="1"/>
    <col min="252" max="252" width="17.46484375" style="3" customWidth="1"/>
    <col min="253" max="253" width="17.19921875" style="3" customWidth="1"/>
    <col min="254" max="254" width="18.46484375" style="3" customWidth="1"/>
    <col min="255" max="255" width="18.19921875" style="3" customWidth="1"/>
    <col min="256" max="504" width="9.19921875" style="3"/>
    <col min="505" max="505" width="5" style="3" customWidth="1"/>
    <col min="506" max="506" width="5.796875" style="3" customWidth="1"/>
    <col min="507" max="507" width="40.53125" style="3" customWidth="1"/>
    <col min="508" max="508" width="17.46484375" style="3" customWidth="1"/>
    <col min="509" max="509" width="17.19921875" style="3" customWidth="1"/>
    <col min="510" max="510" width="18.46484375" style="3" customWidth="1"/>
    <col min="511" max="511" width="18.19921875" style="3" customWidth="1"/>
    <col min="512" max="760" width="9.19921875" style="3"/>
    <col min="761" max="761" width="5" style="3" customWidth="1"/>
    <col min="762" max="762" width="5.796875" style="3" customWidth="1"/>
    <col min="763" max="763" width="40.53125" style="3" customWidth="1"/>
    <col min="764" max="764" width="17.46484375" style="3" customWidth="1"/>
    <col min="765" max="765" width="17.19921875" style="3" customWidth="1"/>
    <col min="766" max="766" width="18.46484375" style="3" customWidth="1"/>
    <col min="767" max="767" width="18.19921875" style="3" customWidth="1"/>
    <col min="768" max="1016" width="9.19921875" style="3"/>
    <col min="1017" max="1017" width="5" style="3" customWidth="1"/>
    <col min="1018" max="1018" width="5.796875" style="3" customWidth="1"/>
    <col min="1019" max="1019" width="40.53125" style="3" customWidth="1"/>
    <col min="1020" max="1020" width="17.46484375" style="3" customWidth="1"/>
    <col min="1021" max="1021" width="17.19921875" style="3" customWidth="1"/>
    <col min="1022" max="1022" width="18.46484375" style="3" customWidth="1"/>
    <col min="1023" max="1023" width="18.19921875" style="3" customWidth="1"/>
    <col min="1024" max="1272" width="9.19921875" style="3"/>
    <col min="1273" max="1273" width="5" style="3" customWidth="1"/>
    <col min="1274" max="1274" width="5.796875" style="3" customWidth="1"/>
    <col min="1275" max="1275" width="40.53125" style="3" customWidth="1"/>
    <col min="1276" max="1276" width="17.46484375" style="3" customWidth="1"/>
    <col min="1277" max="1277" width="17.19921875" style="3" customWidth="1"/>
    <col min="1278" max="1278" width="18.46484375" style="3" customWidth="1"/>
    <col min="1279" max="1279" width="18.19921875" style="3" customWidth="1"/>
    <col min="1280" max="1528" width="9.19921875" style="3"/>
    <col min="1529" max="1529" width="5" style="3" customWidth="1"/>
    <col min="1530" max="1530" width="5.796875" style="3" customWidth="1"/>
    <col min="1531" max="1531" width="40.53125" style="3" customWidth="1"/>
    <col min="1532" max="1532" width="17.46484375" style="3" customWidth="1"/>
    <col min="1533" max="1533" width="17.19921875" style="3" customWidth="1"/>
    <col min="1534" max="1534" width="18.46484375" style="3" customWidth="1"/>
    <col min="1535" max="1535" width="18.19921875" style="3" customWidth="1"/>
    <col min="1536" max="1784" width="9.19921875" style="3"/>
    <col min="1785" max="1785" width="5" style="3" customWidth="1"/>
    <col min="1786" max="1786" width="5.796875" style="3" customWidth="1"/>
    <col min="1787" max="1787" width="40.53125" style="3" customWidth="1"/>
    <col min="1788" max="1788" width="17.46484375" style="3" customWidth="1"/>
    <col min="1789" max="1789" width="17.19921875" style="3" customWidth="1"/>
    <col min="1790" max="1790" width="18.46484375" style="3" customWidth="1"/>
    <col min="1791" max="1791" width="18.19921875" style="3" customWidth="1"/>
    <col min="1792" max="2040" width="9.19921875" style="3"/>
    <col min="2041" max="2041" width="5" style="3" customWidth="1"/>
    <col min="2042" max="2042" width="5.796875" style="3" customWidth="1"/>
    <col min="2043" max="2043" width="40.53125" style="3" customWidth="1"/>
    <col min="2044" max="2044" width="17.46484375" style="3" customWidth="1"/>
    <col min="2045" max="2045" width="17.19921875" style="3" customWidth="1"/>
    <col min="2046" max="2046" width="18.46484375" style="3" customWidth="1"/>
    <col min="2047" max="2047" width="18.19921875" style="3" customWidth="1"/>
    <col min="2048" max="2296" width="9.19921875" style="3"/>
    <col min="2297" max="2297" width="5" style="3" customWidth="1"/>
    <col min="2298" max="2298" width="5.796875" style="3" customWidth="1"/>
    <col min="2299" max="2299" width="40.53125" style="3" customWidth="1"/>
    <col min="2300" max="2300" width="17.46484375" style="3" customWidth="1"/>
    <col min="2301" max="2301" width="17.19921875" style="3" customWidth="1"/>
    <col min="2302" max="2302" width="18.46484375" style="3" customWidth="1"/>
    <col min="2303" max="2303" width="18.19921875" style="3" customWidth="1"/>
    <col min="2304" max="2552" width="9.19921875" style="3"/>
    <col min="2553" max="2553" width="5" style="3" customWidth="1"/>
    <col min="2554" max="2554" width="5.796875" style="3" customWidth="1"/>
    <col min="2555" max="2555" width="40.53125" style="3" customWidth="1"/>
    <col min="2556" max="2556" width="17.46484375" style="3" customWidth="1"/>
    <col min="2557" max="2557" width="17.19921875" style="3" customWidth="1"/>
    <col min="2558" max="2558" width="18.46484375" style="3" customWidth="1"/>
    <col min="2559" max="2559" width="18.19921875" style="3" customWidth="1"/>
    <col min="2560" max="2808" width="9.19921875" style="3"/>
    <col min="2809" max="2809" width="5" style="3" customWidth="1"/>
    <col min="2810" max="2810" width="5.796875" style="3" customWidth="1"/>
    <col min="2811" max="2811" width="40.53125" style="3" customWidth="1"/>
    <col min="2812" max="2812" width="17.46484375" style="3" customWidth="1"/>
    <col min="2813" max="2813" width="17.19921875" style="3" customWidth="1"/>
    <col min="2814" max="2814" width="18.46484375" style="3" customWidth="1"/>
    <col min="2815" max="2815" width="18.19921875" style="3" customWidth="1"/>
    <col min="2816" max="3064" width="9.19921875" style="3"/>
    <col min="3065" max="3065" width="5" style="3" customWidth="1"/>
    <col min="3066" max="3066" width="5.796875" style="3" customWidth="1"/>
    <col min="3067" max="3067" width="40.53125" style="3" customWidth="1"/>
    <col min="3068" max="3068" width="17.46484375" style="3" customWidth="1"/>
    <col min="3069" max="3069" width="17.19921875" style="3" customWidth="1"/>
    <col min="3070" max="3070" width="18.46484375" style="3" customWidth="1"/>
    <col min="3071" max="3071" width="18.19921875" style="3" customWidth="1"/>
    <col min="3072" max="3320" width="9.19921875" style="3"/>
    <col min="3321" max="3321" width="5" style="3" customWidth="1"/>
    <col min="3322" max="3322" width="5.796875" style="3" customWidth="1"/>
    <col min="3323" max="3323" width="40.53125" style="3" customWidth="1"/>
    <col min="3324" max="3324" width="17.46484375" style="3" customWidth="1"/>
    <col min="3325" max="3325" width="17.19921875" style="3" customWidth="1"/>
    <col min="3326" max="3326" width="18.46484375" style="3" customWidth="1"/>
    <col min="3327" max="3327" width="18.19921875" style="3" customWidth="1"/>
    <col min="3328" max="3576" width="9.19921875" style="3"/>
    <col min="3577" max="3577" width="5" style="3" customWidth="1"/>
    <col min="3578" max="3578" width="5.796875" style="3" customWidth="1"/>
    <col min="3579" max="3579" width="40.53125" style="3" customWidth="1"/>
    <col min="3580" max="3580" width="17.46484375" style="3" customWidth="1"/>
    <col min="3581" max="3581" width="17.19921875" style="3" customWidth="1"/>
    <col min="3582" max="3582" width="18.46484375" style="3" customWidth="1"/>
    <col min="3583" max="3583" width="18.19921875" style="3" customWidth="1"/>
    <col min="3584" max="3832" width="9.19921875" style="3"/>
    <col min="3833" max="3833" width="5" style="3" customWidth="1"/>
    <col min="3834" max="3834" width="5.796875" style="3" customWidth="1"/>
    <col min="3835" max="3835" width="40.53125" style="3" customWidth="1"/>
    <col min="3836" max="3836" width="17.46484375" style="3" customWidth="1"/>
    <col min="3837" max="3837" width="17.19921875" style="3" customWidth="1"/>
    <col min="3838" max="3838" width="18.46484375" style="3" customWidth="1"/>
    <col min="3839" max="3839" width="18.19921875" style="3" customWidth="1"/>
    <col min="3840" max="4088" width="9.19921875" style="3"/>
    <col min="4089" max="4089" width="5" style="3" customWidth="1"/>
    <col min="4090" max="4090" width="5.796875" style="3" customWidth="1"/>
    <col min="4091" max="4091" width="40.53125" style="3" customWidth="1"/>
    <col min="4092" max="4092" width="17.46484375" style="3" customWidth="1"/>
    <col min="4093" max="4093" width="17.19921875" style="3" customWidth="1"/>
    <col min="4094" max="4094" width="18.46484375" style="3" customWidth="1"/>
    <col min="4095" max="4095" width="18.19921875" style="3" customWidth="1"/>
    <col min="4096" max="4344" width="9.19921875" style="3"/>
    <col min="4345" max="4345" width="5" style="3" customWidth="1"/>
    <col min="4346" max="4346" width="5.796875" style="3" customWidth="1"/>
    <col min="4347" max="4347" width="40.53125" style="3" customWidth="1"/>
    <col min="4348" max="4348" width="17.46484375" style="3" customWidth="1"/>
    <col min="4349" max="4349" width="17.19921875" style="3" customWidth="1"/>
    <col min="4350" max="4350" width="18.46484375" style="3" customWidth="1"/>
    <col min="4351" max="4351" width="18.19921875" style="3" customWidth="1"/>
    <col min="4352" max="4600" width="9.19921875" style="3"/>
    <col min="4601" max="4601" width="5" style="3" customWidth="1"/>
    <col min="4602" max="4602" width="5.796875" style="3" customWidth="1"/>
    <col min="4603" max="4603" width="40.53125" style="3" customWidth="1"/>
    <col min="4604" max="4604" width="17.46484375" style="3" customWidth="1"/>
    <col min="4605" max="4605" width="17.19921875" style="3" customWidth="1"/>
    <col min="4606" max="4606" width="18.46484375" style="3" customWidth="1"/>
    <col min="4607" max="4607" width="18.19921875" style="3" customWidth="1"/>
    <col min="4608" max="4856" width="9.19921875" style="3"/>
    <col min="4857" max="4857" width="5" style="3" customWidth="1"/>
    <col min="4858" max="4858" width="5.796875" style="3" customWidth="1"/>
    <col min="4859" max="4859" width="40.53125" style="3" customWidth="1"/>
    <col min="4860" max="4860" width="17.46484375" style="3" customWidth="1"/>
    <col min="4861" max="4861" width="17.19921875" style="3" customWidth="1"/>
    <col min="4862" max="4862" width="18.46484375" style="3" customWidth="1"/>
    <col min="4863" max="4863" width="18.19921875" style="3" customWidth="1"/>
    <col min="4864" max="5112" width="9.19921875" style="3"/>
    <col min="5113" max="5113" width="5" style="3" customWidth="1"/>
    <col min="5114" max="5114" width="5.796875" style="3" customWidth="1"/>
    <col min="5115" max="5115" width="40.53125" style="3" customWidth="1"/>
    <col min="5116" max="5116" width="17.46484375" style="3" customWidth="1"/>
    <col min="5117" max="5117" width="17.19921875" style="3" customWidth="1"/>
    <col min="5118" max="5118" width="18.46484375" style="3" customWidth="1"/>
    <col min="5119" max="5119" width="18.19921875" style="3" customWidth="1"/>
    <col min="5120" max="5368" width="9.19921875" style="3"/>
    <col min="5369" max="5369" width="5" style="3" customWidth="1"/>
    <col min="5370" max="5370" width="5.796875" style="3" customWidth="1"/>
    <col min="5371" max="5371" width="40.53125" style="3" customWidth="1"/>
    <col min="5372" max="5372" width="17.46484375" style="3" customWidth="1"/>
    <col min="5373" max="5373" width="17.19921875" style="3" customWidth="1"/>
    <col min="5374" max="5374" width="18.46484375" style="3" customWidth="1"/>
    <col min="5375" max="5375" width="18.19921875" style="3" customWidth="1"/>
    <col min="5376" max="5624" width="9.19921875" style="3"/>
    <col min="5625" max="5625" width="5" style="3" customWidth="1"/>
    <col min="5626" max="5626" width="5.796875" style="3" customWidth="1"/>
    <col min="5627" max="5627" width="40.53125" style="3" customWidth="1"/>
    <col min="5628" max="5628" width="17.46484375" style="3" customWidth="1"/>
    <col min="5629" max="5629" width="17.19921875" style="3" customWidth="1"/>
    <col min="5630" max="5630" width="18.46484375" style="3" customWidth="1"/>
    <col min="5631" max="5631" width="18.19921875" style="3" customWidth="1"/>
    <col min="5632" max="5880" width="9.19921875" style="3"/>
    <col min="5881" max="5881" width="5" style="3" customWidth="1"/>
    <col min="5882" max="5882" width="5.796875" style="3" customWidth="1"/>
    <col min="5883" max="5883" width="40.53125" style="3" customWidth="1"/>
    <col min="5884" max="5884" width="17.46484375" style="3" customWidth="1"/>
    <col min="5885" max="5885" width="17.19921875" style="3" customWidth="1"/>
    <col min="5886" max="5886" width="18.46484375" style="3" customWidth="1"/>
    <col min="5887" max="5887" width="18.19921875" style="3" customWidth="1"/>
    <col min="5888" max="6136" width="9.19921875" style="3"/>
    <col min="6137" max="6137" width="5" style="3" customWidth="1"/>
    <col min="6138" max="6138" width="5.796875" style="3" customWidth="1"/>
    <col min="6139" max="6139" width="40.53125" style="3" customWidth="1"/>
    <col min="6140" max="6140" width="17.46484375" style="3" customWidth="1"/>
    <col min="6141" max="6141" width="17.19921875" style="3" customWidth="1"/>
    <col min="6142" max="6142" width="18.46484375" style="3" customWidth="1"/>
    <col min="6143" max="6143" width="18.19921875" style="3" customWidth="1"/>
    <col min="6144" max="6392" width="9.19921875" style="3"/>
    <col min="6393" max="6393" width="5" style="3" customWidth="1"/>
    <col min="6394" max="6394" width="5.796875" style="3" customWidth="1"/>
    <col min="6395" max="6395" width="40.53125" style="3" customWidth="1"/>
    <col min="6396" max="6396" width="17.46484375" style="3" customWidth="1"/>
    <col min="6397" max="6397" width="17.19921875" style="3" customWidth="1"/>
    <col min="6398" max="6398" width="18.46484375" style="3" customWidth="1"/>
    <col min="6399" max="6399" width="18.19921875" style="3" customWidth="1"/>
    <col min="6400" max="6648" width="9.19921875" style="3"/>
    <col min="6649" max="6649" width="5" style="3" customWidth="1"/>
    <col min="6650" max="6650" width="5.796875" style="3" customWidth="1"/>
    <col min="6651" max="6651" width="40.53125" style="3" customWidth="1"/>
    <col min="6652" max="6652" width="17.46484375" style="3" customWidth="1"/>
    <col min="6653" max="6653" width="17.19921875" style="3" customWidth="1"/>
    <col min="6654" max="6654" width="18.46484375" style="3" customWidth="1"/>
    <col min="6655" max="6655" width="18.19921875" style="3" customWidth="1"/>
    <col min="6656" max="6904" width="9.19921875" style="3"/>
    <col min="6905" max="6905" width="5" style="3" customWidth="1"/>
    <col min="6906" max="6906" width="5.796875" style="3" customWidth="1"/>
    <col min="6907" max="6907" width="40.53125" style="3" customWidth="1"/>
    <col min="6908" max="6908" width="17.46484375" style="3" customWidth="1"/>
    <col min="6909" max="6909" width="17.19921875" style="3" customWidth="1"/>
    <col min="6910" max="6910" width="18.46484375" style="3" customWidth="1"/>
    <col min="6911" max="6911" width="18.19921875" style="3" customWidth="1"/>
    <col min="6912" max="7160" width="9.19921875" style="3"/>
    <col min="7161" max="7161" width="5" style="3" customWidth="1"/>
    <col min="7162" max="7162" width="5.796875" style="3" customWidth="1"/>
    <col min="7163" max="7163" width="40.53125" style="3" customWidth="1"/>
    <col min="7164" max="7164" width="17.46484375" style="3" customWidth="1"/>
    <col min="7165" max="7165" width="17.19921875" style="3" customWidth="1"/>
    <col min="7166" max="7166" width="18.46484375" style="3" customWidth="1"/>
    <col min="7167" max="7167" width="18.19921875" style="3" customWidth="1"/>
    <col min="7168" max="7416" width="9.19921875" style="3"/>
    <col min="7417" max="7417" width="5" style="3" customWidth="1"/>
    <col min="7418" max="7418" width="5.796875" style="3" customWidth="1"/>
    <col min="7419" max="7419" width="40.53125" style="3" customWidth="1"/>
    <col min="7420" max="7420" width="17.46484375" style="3" customWidth="1"/>
    <col min="7421" max="7421" width="17.19921875" style="3" customWidth="1"/>
    <col min="7422" max="7422" width="18.46484375" style="3" customWidth="1"/>
    <col min="7423" max="7423" width="18.19921875" style="3" customWidth="1"/>
    <col min="7424" max="7672" width="9.19921875" style="3"/>
    <col min="7673" max="7673" width="5" style="3" customWidth="1"/>
    <col min="7674" max="7674" width="5.796875" style="3" customWidth="1"/>
    <col min="7675" max="7675" width="40.53125" style="3" customWidth="1"/>
    <col min="7676" max="7676" width="17.46484375" style="3" customWidth="1"/>
    <col min="7677" max="7677" width="17.19921875" style="3" customWidth="1"/>
    <col min="7678" max="7678" width="18.46484375" style="3" customWidth="1"/>
    <col min="7679" max="7679" width="18.19921875" style="3" customWidth="1"/>
    <col min="7680" max="7928" width="9.19921875" style="3"/>
    <col min="7929" max="7929" width="5" style="3" customWidth="1"/>
    <col min="7930" max="7930" width="5.796875" style="3" customWidth="1"/>
    <col min="7931" max="7931" width="40.53125" style="3" customWidth="1"/>
    <col min="7932" max="7932" width="17.46484375" style="3" customWidth="1"/>
    <col min="7933" max="7933" width="17.19921875" style="3" customWidth="1"/>
    <col min="7934" max="7934" width="18.46484375" style="3" customWidth="1"/>
    <col min="7935" max="7935" width="18.19921875" style="3" customWidth="1"/>
    <col min="7936" max="8184" width="9.19921875" style="3"/>
    <col min="8185" max="8185" width="5" style="3" customWidth="1"/>
    <col min="8186" max="8186" width="5.796875" style="3" customWidth="1"/>
    <col min="8187" max="8187" width="40.53125" style="3" customWidth="1"/>
    <col min="8188" max="8188" width="17.46484375" style="3" customWidth="1"/>
    <col min="8189" max="8189" width="17.19921875" style="3" customWidth="1"/>
    <col min="8190" max="8190" width="18.46484375" style="3" customWidth="1"/>
    <col min="8191" max="8191" width="18.19921875" style="3" customWidth="1"/>
    <col min="8192" max="8440" width="9.19921875" style="3"/>
    <col min="8441" max="8441" width="5" style="3" customWidth="1"/>
    <col min="8442" max="8442" width="5.796875" style="3" customWidth="1"/>
    <col min="8443" max="8443" width="40.53125" style="3" customWidth="1"/>
    <col min="8444" max="8444" width="17.46484375" style="3" customWidth="1"/>
    <col min="8445" max="8445" width="17.19921875" style="3" customWidth="1"/>
    <col min="8446" max="8446" width="18.46484375" style="3" customWidth="1"/>
    <col min="8447" max="8447" width="18.19921875" style="3" customWidth="1"/>
    <col min="8448" max="8696" width="9.19921875" style="3"/>
    <col min="8697" max="8697" width="5" style="3" customWidth="1"/>
    <col min="8698" max="8698" width="5.796875" style="3" customWidth="1"/>
    <col min="8699" max="8699" width="40.53125" style="3" customWidth="1"/>
    <col min="8700" max="8700" width="17.46484375" style="3" customWidth="1"/>
    <col min="8701" max="8701" width="17.19921875" style="3" customWidth="1"/>
    <col min="8702" max="8702" width="18.46484375" style="3" customWidth="1"/>
    <col min="8703" max="8703" width="18.19921875" style="3" customWidth="1"/>
    <col min="8704" max="8952" width="9.19921875" style="3"/>
    <col min="8953" max="8953" width="5" style="3" customWidth="1"/>
    <col min="8954" max="8954" width="5.796875" style="3" customWidth="1"/>
    <col min="8955" max="8955" width="40.53125" style="3" customWidth="1"/>
    <col min="8956" max="8956" width="17.46484375" style="3" customWidth="1"/>
    <col min="8957" max="8957" width="17.19921875" style="3" customWidth="1"/>
    <col min="8958" max="8958" width="18.46484375" style="3" customWidth="1"/>
    <col min="8959" max="8959" width="18.19921875" style="3" customWidth="1"/>
    <col min="8960" max="9208" width="9.19921875" style="3"/>
    <col min="9209" max="9209" width="5" style="3" customWidth="1"/>
    <col min="9210" max="9210" width="5.796875" style="3" customWidth="1"/>
    <col min="9211" max="9211" width="40.53125" style="3" customWidth="1"/>
    <col min="9212" max="9212" width="17.46484375" style="3" customWidth="1"/>
    <col min="9213" max="9213" width="17.19921875" style="3" customWidth="1"/>
    <col min="9214" max="9214" width="18.46484375" style="3" customWidth="1"/>
    <col min="9215" max="9215" width="18.19921875" style="3" customWidth="1"/>
    <col min="9216" max="9464" width="9.19921875" style="3"/>
    <col min="9465" max="9465" width="5" style="3" customWidth="1"/>
    <col min="9466" max="9466" width="5.796875" style="3" customWidth="1"/>
    <col min="9467" max="9467" width="40.53125" style="3" customWidth="1"/>
    <col min="9468" max="9468" width="17.46484375" style="3" customWidth="1"/>
    <col min="9469" max="9469" width="17.19921875" style="3" customWidth="1"/>
    <col min="9470" max="9470" width="18.46484375" style="3" customWidth="1"/>
    <col min="9471" max="9471" width="18.19921875" style="3" customWidth="1"/>
    <col min="9472" max="9720" width="9.19921875" style="3"/>
    <col min="9721" max="9721" width="5" style="3" customWidth="1"/>
    <col min="9722" max="9722" width="5.796875" style="3" customWidth="1"/>
    <col min="9723" max="9723" width="40.53125" style="3" customWidth="1"/>
    <col min="9724" max="9724" width="17.46484375" style="3" customWidth="1"/>
    <col min="9725" max="9725" width="17.19921875" style="3" customWidth="1"/>
    <col min="9726" max="9726" width="18.46484375" style="3" customWidth="1"/>
    <col min="9727" max="9727" width="18.19921875" style="3" customWidth="1"/>
    <col min="9728" max="9976" width="9.19921875" style="3"/>
    <col min="9977" max="9977" width="5" style="3" customWidth="1"/>
    <col min="9978" max="9978" width="5.796875" style="3" customWidth="1"/>
    <col min="9979" max="9979" width="40.53125" style="3" customWidth="1"/>
    <col min="9980" max="9980" width="17.46484375" style="3" customWidth="1"/>
    <col min="9981" max="9981" width="17.19921875" style="3" customWidth="1"/>
    <col min="9982" max="9982" width="18.46484375" style="3" customWidth="1"/>
    <col min="9983" max="9983" width="18.19921875" style="3" customWidth="1"/>
    <col min="9984" max="10232" width="9.19921875" style="3"/>
    <col min="10233" max="10233" width="5" style="3" customWidth="1"/>
    <col min="10234" max="10234" width="5.796875" style="3" customWidth="1"/>
    <col min="10235" max="10235" width="40.53125" style="3" customWidth="1"/>
    <col min="10236" max="10236" width="17.46484375" style="3" customWidth="1"/>
    <col min="10237" max="10237" width="17.19921875" style="3" customWidth="1"/>
    <col min="10238" max="10238" width="18.46484375" style="3" customWidth="1"/>
    <col min="10239" max="10239" width="18.19921875" style="3" customWidth="1"/>
    <col min="10240" max="10488" width="9.19921875" style="3"/>
    <col min="10489" max="10489" width="5" style="3" customWidth="1"/>
    <col min="10490" max="10490" width="5.796875" style="3" customWidth="1"/>
    <col min="10491" max="10491" width="40.53125" style="3" customWidth="1"/>
    <col min="10492" max="10492" width="17.46484375" style="3" customWidth="1"/>
    <col min="10493" max="10493" width="17.19921875" style="3" customWidth="1"/>
    <col min="10494" max="10494" width="18.46484375" style="3" customWidth="1"/>
    <col min="10495" max="10495" width="18.19921875" style="3" customWidth="1"/>
    <col min="10496" max="10744" width="9.19921875" style="3"/>
    <col min="10745" max="10745" width="5" style="3" customWidth="1"/>
    <col min="10746" max="10746" width="5.796875" style="3" customWidth="1"/>
    <col min="10747" max="10747" width="40.53125" style="3" customWidth="1"/>
    <col min="10748" max="10748" width="17.46484375" style="3" customWidth="1"/>
    <col min="10749" max="10749" width="17.19921875" style="3" customWidth="1"/>
    <col min="10750" max="10750" width="18.46484375" style="3" customWidth="1"/>
    <col min="10751" max="10751" width="18.19921875" style="3" customWidth="1"/>
    <col min="10752" max="11000" width="9.19921875" style="3"/>
    <col min="11001" max="11001" width="5" style="3" customWidth="1"/>
    <col min="11002" max="11002" width="5.796875" style="3" customWidth="1"/>
    <col min="11003" max="11003" width="40.53125" style="3" customWidth="1"/>
    <col min="11004" max="11004" width="17.46484375" style="3" customWidth="1"/>
    <col min="11005" max="11005" width="17.19921875" style="3" customWidth="1"/>
    <col min="11006" max="11006" width="18.46484375" style="3" customWidth="1"/>
    <col min="11007" max="11007" width="18.19921875" style="3" customWidth="1"/>
    <col min="11008" max="11256" width="9.19921875" style="3"/>
    <col min="11257" max="11257" width="5" style="3" customWidth="1"/>
    <col min="11258" max="11258" width="5.796875" style="3" customWidth="1"/>
    <col min="11259" max="11259" width="40.53125" style="3" customWidth="1"/>
    <col min="11260" max="11260" width="17.46484375" style="3" customWidth="1"/>
    <col min="11261" max="11261" width="17.19921875" style="3" customWidth="1"/>
    <col min="11262" max="11262" width="18.46484375" style="3" customWidth="1"/>
    <col min="11263" max="11263" width="18.19921875" style="3" customWidth="1"/>
    <col min="11264" max="11512" width="9.19921875" style="3"/>
    <col min="11513" max="11513" width="5" style="3" customWidth="1"/>
    <col min="11514" max="11514" width="5.796875" style="3" customWidth="1"/>
    <col min="11515" max="11515" width="40.53125" style="3" customWidth="1"/>
    <col min="11516" max="11516" width="17.46484375" style="3" customWidth="1"/>
    <col min="11517" max="11517" width="17.19921875" style="3" customWidth="1"/>
    <col min="11518" max="11518" width="18.46484375" style="3" customWidth="1"/>
    <col min="11519" max="11519" width="18.19921875" style="3" customWidth="1"/>
    <col min="11520" max="11768" width="9.19921875" style="3"/>
    <col min="11769" max="11769" width="5" style="3" customWidth="1"/>
    <col min="11770" max="11770" width="5.796875" style="3" customWidth="1"/>
    <col min="11771" max="11771" width="40.53125" style="3" customWidth="1"/>
    <col min="11772" max="11772" width="17.46484375" style="3" customWidth="1"/>
    <col min="11773" max="11773" width="17.19921875" style="3" customWidth="1"/>
    <col min="11774" max="11774" width="18.46484375" style="3" customWidth="1"/>
    <col min="11775" max="11775" width="18.19921875" style="3" customWidth="1"/>
    <col min="11776" max="12024" width="9.19921875" style="3"/>
    <col min="12025" max="12025" width="5" style="3" customWidth="1"/>
    <col min="12026" max="12026" width="5.796875" style="3" customWidth="1"/>
    <col min="12027" max="12027" width="40.53125" style="3" customWidth="1"/>
    <col min="12028" max="12028" width="17.46484375" style="3" customWidth="1"/>
    <col min="12029" max="12029" width="17.19921875" style="3" customWidth="1"/>
    <col min="12030" max="12030" width="18.46484375" style="3" customWidth="1"/>
    <col min="12031" max="12031" width="18.19921875" style="3" customWidth="1"/>
    <col min="12032" max="12280" width="9.19921875" style="3"/>
    <col min="12281" max="12281" width="5" style="3" customWidth="1"/>
    <col min="12282" max="12282" width="5.796875" style="3" customWidth="1"/>
    <col min="12283" max="12283" width="40.53125" style="3" customWidth="1"/>
    <col min="12284" max="12284" width="17.46484375" style="3" customWidth="1"/>
    <col min="12285" max="12285" width="17.19921875" style="3" customWidth="1"/>
    <col min="12286" max="12286" width="18.46484375" style="3" customWidth="1"/>
    <col min="12287" max="12287" width="18.19921875" style="3" customWidth="1"/>
    <col min="12288" max="12536" width="9.19921875" style="3"/>
    <col min="12537" max="12537" width="5" style="3" customWidth="1"/>
    <col min="12538" max="12538" width="5.796875" style="3" customWidth="1"/>
    <col min="12539" max="12539" width="40.53125" style="3" customWidth="1"/>
    <col min="12540" max="12540" width="17.46484375" style="3" customWidth="1"/>
    <col min="12541" max="12541" width="17.19921875" style="3" customWidth="1"/>
    <col min="12542" max="12542" width="18.46484375" style="3" customWidth="1"/>
    <col min="12543" max="12543" width="18.19921875" style="3" customWidth="1"/>
    <col min="12544" max="12792" width="9.19921875" style="3"/>
    <col min="12793" max="12793" width="5" style="3" customWidth="1"/>
    <col min="12794" max="12794" width="5.796875" style="3" customWidth="1"/>
    <col min="12795" max="12795" width="40.53125" style="3" customWidth="1"/>
    <col min="12796" max="12796" width="17.46484375" style="3" customWidth="1"/>
    <col min="12797" max="12797" width="17.19921875" style="3" customWidth="1"/>
    <col min="12798" max="12798" width="18.46484375" style="3" customWidth="1"/>
    <col min="12799" max="12799" width="18.19921875" style="3" customWidth="1"/>
    <col min="12800" max="13048" width="9.19921875" style="3"/>
    <col min="13049" max="13049" width="5" style="3" customWidth="1"/>
    <col min="13050" max="13050" width="5.796875" style="3" customWidth="1"/>
    <col min="13051" max="13051" width="40.53125" style="3" customWidth="1"/>
    <col min="13052" max="13052" width="17.46484375" style="3" customWidth="1"/>
    <col min="13053" max="13053" width="17.19921875" style="3" customWidth="1"/>
    <col min="13054" max="13054" width="18.46484375" style="3" customWidth="1"/>
    <col min="13055" max="13055" width="18.19921875" style="3" customWidth="1"/>
    <col min="13056" max="13304" width="9.19921875" style="3"/>
    <col min="13305" max="13305" width="5" style="3" customWidth="1"/>
    <col min="13306" max="13306" width="5.796875" style="3" customWidth="1"/>
    <col min="13307" max="13307" width="40.53125" style="3" customWidth="1"/>
    <col min="13308" max="13308" width="17.46484375" style="3" customWidth="1"/>
    <col min="13309" max="13309" width="17.19921875" style="3" customWidth="1"/>
    <col min="13310" max="13310" width="18.46484375" style="3" customWidth="1"/>
    <col min="13311" max="13311" width="18.19921875" style="3" customWidth="1"/>
    <col min="13312" max="13560" width="9.19921875" style="3"/>
    <col min="13561" max="13561" width="5" style="3" customWidth="1"/>
    <col min="13562" max="13562" width="5.796875" style="3" customWidth="1"/>
    <col min="13563" max="13563" width="40.53125" style="3" customWidth="1"/>
    <col min="13564" max="13564" width="17.46484375" style="3" customWidth="1"/>
    <col min="13565" max="13565" width="17.19921875" style="3" customWidth="1"/>
    <col min="13566" max="13566" width="18.46484375" style="3" customWidth="1"/>
    <col min="13567" max="13567" width="18.19921875" style="3" customWidth="1"/>
    <col min="13568" max="13816" width="9.19921875" style="3"/>
    <col min="13817" max="13817" width="5" style="3" customWidth="1"/>
    <col min="13818" max="13818" width="5.796875" style="3" customWidth="1"/>
    <col min="13819" max="13819" width="40.53125" style="3" customWidth="1"/>
    <col min="13820" max="13820" width="17.46484375" style="3" customWidth="1"/>
    <col min="13821" max="13821" width="17.19921875" style="3" customWidth="1"/>
    <col min="13822" max="13822" width="18.46484375" style="3" customWidth="1"/>
    <col min="13823" max="13823" width="18.19921875" style="3" customWidth="1"/>
    <col min="13824" max="14072" width="9.19921875" style="3"/>
    <col min="14073" max="14073" width="5" style="3" customWidth="1"/>
    <col min="14074" max="14074" width="5.796875" style="3" customWidth="1"/>
    <col min="14075" max="14075" width="40.53125" style="3" customWidth="1"/>
    <col min="14076" max="14076" width="17.46484375" style="3" customWidth="1"/>
    <col min="14077" max="14077" width="17.19921875" style="3" customWidth="1"/>
    <col min="14078" max="14078" width="18.46484375" style="3" customWidth="1"/>
    <col min="14079" max="14079" width="18.19921875" style="3" customWidth="1"/>
    <col min="14080" max="14328" width="9.19921875" style="3"/>
    <col min="14329" max="14329" width="5" style="3" customWidth="1"/>
    <col min="14330" max="14330" width="5.796875" style="3" customWidth="1"/>
    <col min="14331" max="14331" width="40.53125" style="3" customWidth="1"/>
    <col min="14332" max="14332" width="17.46484375" style="3" customWidth="1"/>
    <col min="14333" max="14333" width="17.19921875" style="3" customWidth="1"/>
    <col min="14334" max="14334" width="18.46484375" style="3" customWidth="1"/>
    <col min="14335" max="14335" width="18.19921875" style="3" customWidth="1"/>
    <col min="14336" max="14584" width="9.19921875" style="3"/>
    <col min="14585" max="14585" width="5" style="3" customWidth="1"/>
    <col min="14586" max="14586" width="5.796875" style="3" customWidth="1"/>
    <col min="14587" max="14587" width="40.53125" style="3" customWidth="1"/>
    <col min="14588" max="14588" width="17.46484375" style="3" customWidth="1"/>
    <col min="14589" max="14589" width="17.19921875" style="3" customWidth="1"/>
    <col min="14590" max="14590" width="18.46484375" style="3" customWidth="1"/>
    <col min="14591" max="14591" width="18.19921875" style="3" customWidth="1"/>
    <col min="14592" max="14840" width="9.19921875" style="3"/>
    <col min="14841" max="14841" width="5" style="3" customWidth="1"/>
    <col min="14842" max="14842" width="5.796875" style="3" customWidth="1"/>
    <col min="14843" max="14843" width="40.53125" style="3" customWidth="1"/>
    <col min="14844" max="14844" width="17.46484375" style="3" customWidth="1"/>
    <col min="14845" max="14845" width="17.19921875" style="3" customWidth="1"/>
    <col min="14846" max="14846" width="18.46484375" style="3" customWidth="1"/>
    <col min="14847" max="14847" width="18.19921875" style="3" customWidth="1"/>
    <col min="14848" max="15096" width="9.19921875" style="3"/>
    <col min="15097" max="15097" width="5" style="3" customWidth="1"/>
    <col min="15098" max="15098" width="5.796875" style="3" customWidth="1"/>
    <col min="15099" max="15099" width="40.53125" style="3" customWidth="1"/>
    <col min="15100" max="15100" width="17.46484375" style="3" customWidth="1"/>
    <col min="15101" max="15101" width="17.19921875" style="3" customWidth="1"/>
    <col min="15102" max="15102" width="18.46484375" style="3" customWidth="1"/>
    <col min="15103" max="15103" width="18.19921875" style="3" customWidth="1"/>
    <col min="15104" max="15352" width="9.19921875" style="3"/>
    <col min="15353" max="15353" width="5" style="3" customWidth="1"/>
    <col min="15354" max="15354" width="5.796875" style="3" customWidth="1"/>
    <col min="15355" max="15355" width="40.53125" style="3" customWidth="1"/>
    <col min="15356" max="15356" width="17.46484375" style="3" customWidth="1"/>
    <col min="15357" max="15357" width="17.19921875" style="3" customWidth="1"/>
    <col min="15358" max="15358" width="18.46484375" style="3" customWidth="1"/>
    <col min="15359" max="15359" width="18.19921875" style="3" customWidth="1"/>
    <col min="15360" max="15608" width="9.19921875" style="3"/>
    <col min="15609" max="15609" width="5" style="3" customWidth="1"/>
    <col min="15610" max="15610" width="5.796875" style="3" customWidth="1"/>
    <col min="15611" max="15611" width="40.53125" style="3" customWidth="1"/>
    <col min="15612" max="15612" width="17.46484375" style="3" customWidth="1"/>
    <col min="15613" max="15613" width="17.19921875" style="3" customWidth="1"/>
    <col min="15614" max="15614" width="18.46484375" style="3" customWidth="1"/>
    <col min="15615" max="15615" width="18.19921875" style="3" customWidth="1"/>
    <col min="15616" max="15864" width="9.19921875" style="3"/>
    <col min="15865" max="15865" width="5" style="3" customWidth="1"/>
    <col min="15866" max="15866" width="5.796875" style="3" customWidth="1"/>
    <col min="15867" max="15867" width="40.53125" style="3" customWidth="1"/>
    <col min="15868" max="15868" width="17.46484375" style="3" customWidth="1"/>
    <col min="15869" max="15869" width="17.19921875" style="3" customWidth="1"/>
    <col min="15870" max="15870" width="18.46484375" style="3" customWidth="1"/>
    <col min="15871" max="15871" width="18.19921875" style="3" customWidth="1"/>
    <col min="15872" max="16120" width="9.19921875" style="3"/>
    <col min="16121" max="16121" width="5" style="3" customWidth="1"/>
    <col min="16122" max="16122" width="5.796875" style="3" customWidth="1"/>
    <col min="16123" max="16123" width="40.53125" style="3" customWidth="1"/>
    <col min="16124" max="16124" width="17.46484375" style="3" customWidth="1"/>
    <col min="16125" max="16125" width="17.19921875" style="3" customWidth="1"/>
    <col min="16126" max="16126" width="18.46484375" style="3" customWidth="1"/>
    <col min="16127" max="16127" width="18.19921875" style="3" customWidth="1"/>
    <col min="16128" max="16378" width="9.19921875" style="3"/>
    <col min="16379" max="16384" width="9.19921875" style="3" customWidth="1"/>
  </cols>
  <sheetData>
    <row r="1" spans="1:8">
      <c r="A1" s="20" t="s">
        <v>1852</v>
      </c>
      <c r="B1" s="20"/>
    </row>
    <row r="2" spans="1:8">
      <c r="A2" s="2149" t="str">
        <f>+'BS1'!A2</f>
        <v>NIDP DEVELOPERS PRIVATE LIMITED</v>
      </c>
      <c r="B2" s="2149"/>
      <c r="C2" s="2149"/>
      <c r="D2" s="2149"/>
      <c r="E2" s="2149"/>
      <c r="F2" s="2149"/>
    </row>
    <row r="3" spans="1:8" ht="15" customHeight="1">
      <c r="A3" s="173" t="s">
        <v>1394</v>
      </c>
      <c r="B3" s="173"/>
      <c r="C3" s="173"/>
      <c r="D3" s="173"/>
      <c r="E3" s="1582"/>
      <c r="F3" s="1582"/>
      <c r="G3" s="55"/>
      <c r="H3" s="55"/>
    </row>
    <row r="4" spans="1:8" ht="15" customHeight="1">
      <c r="E4" s="2148"/>
      <c r="F4" s="2148"/>
      <c r="G4" s="30"/>
      <c r="H4" s="30"/>
    </row>
    <row r="5" spans="1:8" ht="15" customHeight="1">
      <c r="A5" s="1992" t="s">
        <v>74</v>
      </c>
      <c r="B5" s="1994"/>
      <c r="C5" s="1488" t="s">
        <v>10</v>
      </c>
      <c r="D5" s="146" t="s">
        <v>703</v>
      </c>
      <c r="E5" s="147" t="s">
        <v>1573</v>
      </c>
      <c r="F5" s="147" t="s">
        <v>344</v>
      </c>
      <c r="G5" s="147" t="s">
        <v>739</v>
      </c>
      <c r="H5" s="1481" t="s">
        <v>80</v>
      </c>
    </row>
    <row r="6" spans="1:8" ht="15" customHeight="1">
      <c r="A6" s="2151"/>
      <c r="B6" s="2152"/>
      <c r="C6" s="1488"/>
      <c r="D6" s="146" t="s">
        <v>342</v>
      </c>
      <c r="E6" s="146" t="s">
        <v>343</v>
      </c>
      <c r="F6" s="146" t="s">
        <v>1442</v>
      </c>
      <c r="G6" s="146" t="s">
        <v>2024</v>
      </c>
      <c r="H6" s="1481"/>
    </row>
    <row r="7" spans="1:8" ht="12" customHeight="1">
      <c r="A7" s="2153"/>
      <c r="B7" s="2154"/>
      <c r="C7" s="1488"/>
      <c r="D7" s="146" t="s">
        <v>347</v>
      </c>
      <c r="E7" s="152" t="s">
        <v>338</v>
      </c>
      <c r="F7" s="151" t="s">
        <v>346</v>
      </c>
      <c r="G7" s="152" t="s">
        <v>183</v>
      </c>
      <c r="H7" s="1481"/>
    </row>
    <row r="8" spans="1:8" ht="14.25" customHeight="1">
      <c r="A8" s="27" t="s">
        <v>32</v>
      </c>
      <c r="B8" s="7"/>
      <c r="C8" s="77" t="s">
        <v>229</v>
      </c>
      <c r="D8" s="1494" t="s">
        <v>2062</v>
      </c>
      <c r="E8" s="7"/>
      <c r="F8" s="7"/>
      <c r="G8" s="7"/>
      <c r="H8" s="7"/>
    </row>
    <row r="9" spans="1:8" ht="15.75" customHeight="1">
      <c r="A9" s="7"/>
      <c r="B9" s="24">
        <v>1</v>
      </c>
      <c r="C9" s="78" t="s">
        <v>230</v>
      </c>
      <c r="D9" s="1495"/>
      <c r="E9" s="7"/>
      <c r="F9" s="7"/>
      <c r="G9" s="7"/>
      <c r="H9" s="7"/>
    </row>
    <row r="10" spans="1:8" ht="15.75" customHeight="1">
      <c r="A10" s="7"/>
      <c r="B10" s="24">
        <v>2</v>
      </c>
      <c r="C10" s="78" t="s">
        <v>231</v>
      </c>
      <c r="D10" s="1495"/>
      <c r="E10" s="7"/>
      <c r="F10" s="7"/>
      <c r="G10" s="7"/>
      <c r="H10" s="7"/>
    </row>
    <row r="11" spans="1:8" ht="16.5" customHeight="1">
      <c r="A11" s="7"/>
      <c r="B11" s="24">
        <v>3</v>
      </c>
      <c r="C11" s="78" t="s">
        <v>232</v>
      </c>
      <c r="D11" s="1495"/>
      <c r="E11" s="7"/>
      <c r="F11" s="7"/>
      <c r="G11" s="7"/>
      <c r="H11" s="7"/>
    </row>
    <row r="12" spans="1:8" ht="15.75" customHeight="1">
      <c r="A12" s="7"/>
      <c r="B12" s="24">
        <v>4</v>
      </c>
      <c r="C12" s="78" t="s">
        <v>233</v>
      </c>
      <c r="D12" s="1495"/>
      <c r="E12" s="7"/>
      <c r="F12" s="7"/>
      <c r="G12" s="7"/>
      <c r="H12" s="7"/>
    </row>
    <row r="13" spans="1:8" ht="19.5" customHeight="1">
      <c r="A13" s="7"/>
      <c r="B13" s="33">
        <v>5</v>
      </c>
      <c r="C13" s="80" t="s">
        <v>234</v>
      </c>
      <c r="D13" s="1495"/>
      <c r="E13" s="1026">
        <f t="shared" ref="E13:G13" si="0">IFERROR(E12/E9,0)</f>
        <v>0</v>
      </c>
      <c r="F13" s="1026">
        <f t="shared" si="0"/>
        <v>0</v>
      </c>
      <c r="G13" s="1026">
        <f t="shared" si="0"/>
        <v>0</v>
      </c>
      <c r="H13" s="7"/>
    </row>
    <row r="14" spans="1:8" ht="19.5" customHeight="1">
      <c r="A14" s="7"/>
      <c r="B14" s="33"/>
      <c r="C14" s="79"/>
      <c r="D14" s="1495"/>
      <c r="E14" s="1030"/>
      <c r="F14" s="7"/>
      <c r="G14" s="7"/>
      <c r="H14" s="7"/>
    </row>
    <row r="15" spans="1:8" ht="19.5" customHeight="1">
      <c r="A15" s="27" t="s">
        <v>33</v>
      </c>
      <c r="B15" s="7"/>
      <c r="C15" s="77" t="s">
        <v>235</v>
      </c>
      <c r="D15" s="1495"/>
      <c r="E15" s="7"/>
      <c r="F15" s="7"/>
      <c r="G15" s="7"/>
      <c r="H15" s="7"/>
    </row>
    <row r="16" spans="1:8" ht="19.5" customHeight="1">
      <c r="A16" s="7"/>
      <c r="B16" s="24">
        <v>1</v>
      </c>
      <c r="C16" s="78" t="s">
        <v>230</v>
      </c>
      <c r="D16" s="1495"/>
      <c r="E16" s="725">
        <f>+'Energy Balance'!I14</f>
        <v>38.255656240000036</v>
      </c>
      <c r="F16" s="725">
        <f>+'Energy Balance'!K14</f>
        <v>61.767894443811429</v>
      </c>
      <c r="G16" s="725">
        <f>+'Energy Balance'!L14</f>
        <v>101.99925199348334</v>
      </c>
      <c r="H16" s="7"/>
    </row>
    <row r="17" spans="1:8" ht="19.5" customHeight="1">
      <c r="A17" s="7"/>
      <c r="B17" s="24">
        <v>2</v>
      </c>
      <c r="C17" s="78" t="s">
        <v>231</v>
      </c>
      <c r="D17" s="1495"/>
      <c r="E17" s="725">
        <f>+'Energy Balance'!I8</f>
        <v>37.540040376137725</v>
      </c>
      <c r="F17" s="725">
        <f>+'Energy Balance'!K8</f>
        <v>61.157459186384557</v>
      </c>
      <c r="G17" s="725">
        <f>+'Energy Balance'!L8</f>
        <v>100.99122120000001</v>
      </c>
      <c r="H17" s="7"/>
    </row>
    <row r="18" spans="1:8" ht="19.5" customHeight="1">
      <c r="A18" s="7"/>
      <c r="B18" s="24">
        <v>3</v>
      </c>
      <c r="C18" s="78" t="s">
        <v>232</v>
      </c>
      <c r="D18" s="1495"/>
      <c r="E18" s="7"/>
      <c r="F18" s="7"/>
      <c r="G18" s="7"/>
      <c r="H18" s="7"/>
    </row>
    <row r="19" spans="1:8" ht="19.5" customHeight="1">
      <c r="A19" s="7"/>
      <c r="B19" s="24">
        <v>4</v>
      </c>
      <c r="C19" s="78" t="s">
        <v>233</v>
      </c>
      <c r="D19" s="1495"/>
      <c r="E19" s="161">
        <f>+E16-E17</f>
        <v>0.71561586386231113</v>
      </c>
      <c r="F19" s="161">
        <f t="shared" ref="F19:G19" si="1">+F16-F17</f>
        <v>0.61043525742687166</v>
      </c>
      <c r="G19" s="161">
        <f t="shared" si="1"/>
        <v>1.0080307934833286</v>
      </c>
      <c r="H19" s="7"/>
    </row>
    <row r="20" spans="1:8" ht="19.5" customHeight="1">
      <c r="A20" s="7"/>
      <c r="B20" s="33">
        <v>5</v>
      </c>
      <c r="C20" s="80" t="s">
        <v>234</v>
      </c>
      <c r="D20" s="1495"/>
      <c r="E20" s="1031">
        <f t="shared" ref="E20:G20" si="2">IFERROR(E19/E16,0)</f>
        <v>1.8706145291897115E-2</v>
      </c>
      <c r="F20" s="1031">
        <f t="shared" si="2"/>
        <v>9.8827273120369683E-3</v>
      </c>
      <c r="G20" s="1031">
        <f t="shared" si="2"/>
        <v>9.882727312036866E-3</v>
      </c>
      <c r="H20" s="7"/>
    </row>
    <row r="21" spans="1:8" ht="19.5" customHeight="1">
      <c r="A21" s="7"/>
      <c r="B21" s="33"/>
      <c r="C21" s="79"/>
      <c r="D21" s="1495"/>
      <c r="E21" s="7"/>
      <c r="F21" s="7"/>
      <c r="G21" s="7"/>
      <c r="H21" s="7"/>
    </row>
    <row r="22" spans="1:8" ht="19.5" customHeight="1">
      <c r="A22" s="27" t="s">
        <v>39</v>
      </c>
      <c r="B22" s="7"/>
      <c r="C22" s="77" t="s">
        <v>236</v>
      </c>
      <c r="D22" s="1495"/>
      <c r="E22" s="7"/>
      <c r="F22" s="7"/>
      <c r="G22" s="7"/>
      <c r="H22" s="7"/>
    </row>
    <row r="23" spans="1:8" ht="19.5" customHeight="1">
      <c r="A23" s="7"/>
      <c r="B23" s="24">
        <v>1</v>
      </c>
      <c r="C23" s="78" t="s">
        <v>230</v>
      </c>
      <c r="D23" s="1495"/>
      <c r="E23" s="7"/>
      <c r="F23" s="7"/>
      <c r="G23" s="7"/>
      <c r="H23" s="7"/>
    </row>
    <row r="24" spans="1:8" ht="19.5" customHeight="1">
      <c r="A24" s="7"/>
      <c r="B24" s="24">
        <v>2</v>
      </c>
      <c r="C24" s="78" t="s">
        <v>231</v>
      </c>
      <c r="D24" s="1495"/>
      <c r="E24" s="7"/>
      <c r="F24" s="7"/>
      <c r="G24" s="7"/>
      <c r="H24" s="7"/>
    </row>
    <row r="25" spans="1:8" ht="19.5" customHeight="1">
      <c r="A25" s="7"/>
      <c r="B25" s="24">
        <v>3</v>
      </c>
      <c r="C25" s="78" t="s">
        <v>233</v>
      </c>
      <c r="D25" s="1495"/>
      <c r="E25" s="7"/>
      <c r="F25" s="7"/>
      <c r="G25" s="7"/>
      <c r="H25" s="7"/>
    </row>
    <row r="26" spans="1:8" ht="19.5" customHeight="1">
      <c r="A26" s="7"/>
      <c r="B26" s="33">
        <v>4</v>
      </c>
      <c r="C26" s="116" t="s">
        <v>237</v>
      </c>
      <c r="D26" s="1495"/>
      <c r="E26" s="1026">
        <f t="shared" ref="E26:G26" si="3">IFERROR(E25/E23,0)</f>
        <v>0</v>
      </c>
      <c r="F26" s="1026">
        <f t="shared" si="3"/>
        <v>0</v>
      </c>
      <c r="G26" s="1026">
        <f t="shared" si="3"/>
        <v>0</v>
      </c>
      <c r="H26" s="7"/>
    </row>
    <row r="27" spans="1:8" ht="19.5" customHeight="1">
      <c r="A27" s="7"/>
      <c r="B27" s="33"/>
      <c r="C27" s="79"/>
      <c r="D27" s="1495"/>
      <c r="E27" s="7"/>
      <c r="F27" s="7"/>
      <c r="G27" s="7"/>
      <c r="H27" s="7"/>
    </row>
    <row r="28" spans="1:8" ht="19.5" customHeight="1">
      <c r="A28" s="27" t="s">
        <v>40</v>
      </c>
      <c r="B28" s="7"/>
      <c r="C28" s="77" t="s">
        <v>238</v>
      </c>
      <c r="D28" s="1495"/>
      <c r="E28" s="7"/>
      <c r="F28" s="7"/>
      <c r="G28" s="7"/>
      <c r="H28" s="7"/>
    </row>
    <row r="29" spans="1:8" ht="19.5" customHeight="1">
      <c r="A29" s="7"/>
      <c r="B29" s="24">
        <v>1</v>
      </c>
      <c r="C29" s="71" t="s">
        <v>239</v>
      </c>
      <c r="D29" s="1495"/>
      <c r="E29" s="161">
        <f>+E16</f>
        <v>38.255656240000036</v>
      </c>
      <c r="F29" s="161">
        <f t="shared" ref="F29:G29" si="4">+F16</f>
        <v>61.767894443811429</v>
      </c>
      <c r="G29" s="161">
        <f t="shared" si="4"/>
        <v>101.99925199348334</v>
      </c>
      <c r="H29" s="7"/>
    </row>
    <row r="30" spans="1:8" ht="19.5" customHeight="1">
      <c r="A30" s="7"/>
      <c r="B30" s="24">
        <v>2</v>
      </c>
      <c r="C30" s="71" t="s">
        <v>240</v>
      </c>
      <c r="D30" s="1495"/>
      <c r="E30" s="161">
        <f>+E17</f>
        <v>37.540040376137725</v>
      </c>
      <c r="F30" s="161">
        <f t="shared" ref="F30:G30" si="5">+F17</f>
        <v>61.157459186384557</v>
      </c>
      <c r="G30" s="161">
        <f t="shared" si="5"/>
        <v>100.99122120000001</v>
      </c>
      <c r="H30" s="7"/>
    </row>
    <row r="31" spans="1:8" ht="19.5" customHeight="1">
      <c r="A31" s="7"/>
      <c r="B31" s="33">
        <v>3</v>
      </c>
      <c r="C31" s="86" t="s">
        <v>1395</v>
      </c>
      <c r="D31" s="1496"/>
      <c r="E31" s="916">
        <f t="shared" ref="E31:G31" si="6">IFERROR(((E29-E30)/E29)*100%,0)</f>
        <v>1.8706145291897115E-2</v>
      </c>
      <c r="F31" s="916">
        <f t="shared" si="6"/>
        <v>9.8827273120369683E-3</v>
      </c>
      <c r="G31" s="916">
        <f t="shared" si="6"/>
        <v>9.882727312036866E-3</v>
      </c>
      <c r="H31" s="7"/>
    </row>
    <row r="32" spans="1:8">
      <c r="C32" s="81"/>
    </row>
    <row r="33" spans="2:6">
      <c r="B33" s="2150"/>
      <c r="C33" s="2150"/>
      <c r="D33" s="2150"/>
      <c r="E33" s="2150"/>
      <c r="F33" s="2150"/>
    </row>
    <row r="34" spans="2:6">
      <c r="B34" s="2150"/>
      <c r="C34" s="2150"/>
      <c r="D34" s="2150"/>
      <c r="E34" s="2150"/>
      <c r="F34" s="2150"/>
    </row>
    <row r="35" spans="2:6">
      <c r="B35" s="75"/>
      <c r="C35" s="76"/>
      <c r="D35" s="76"/>
    </row>
    <row r="36" spans="2:6">
      <c r="B36" s="75"/>
      <c r="C36" s="76"/>
      <c r="D36" s="76"/>
      <c r="E36" s="1671"/>
      <c r="F36" s="1671"/>
    </row>
    <row r="37" spans="2:6">
      <c r="B37" s="75"/>
      <c r="C37" s="76"/>
      <c r="D37" s="76"/>
    </row>
  </sheetData>
  <mergeCells count="10">
    <mergeCell ref="H5:H7"/>
    <mergeCell ref="E36:F36"/>
    <mergeCell ref="E4:F4"/>
    <mergeCell ref="C5:C7"/>
    <mergeCell ref="A2:F2"/>
    <mergeCell ref="B33:F33"/>
    <mergeCell ref="E3:F3"/>
    <mergeCell ref="B34:F34"/>
    <mergeCell ref="A5:B7"/>
    <mergeCell ref="D8:D31"/>
  </mergeCells>
  <printOptions horizontalCentered="1"/>
  <pageMargins left="0.70866141732283472" right="0.70866141732283472" top="0.74803149606299213" bottom="0.74803149606299213" header="0.31496062992125984" footer="0.31496062992125984"/>
  <pageSetup paperSize="5" scale="9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00FFFF"/>
    <pageSetUpPr fitToPage="1"/>
  </sheetPr>
  <dimension ref="A1:E129"/>
  <sheetViews>
    <sheetView view="pageBreakPreview" zoomScale="85" zoomScaleNormal="100" zoomScaleSheetLayoutView="85" workbookViewId="0">
      <pane xSplit="1" ySplit="8" topLeftCell="B71" activePane="bottomRight" state="frozen"/>
      <selection activeCell="T96" sqref="T96"/>
      <selection pane="topRight" activeCell="T96" sqref="T96"/>
      <selection pane="bottomLeft" activeCell="T96" sqref="T96"/>
      <selection pane="bottomRight" activeCell="I75" sqref="I75"/>
    </sheetView>
  </sheetViews>
  <sheetFormatPr defaultColWidth="9.19921875" defaultRowHeight="14.25"/>
  <cols>
    <col min="1" max="1" width="54.796875" style="25" customWidth="1"/>
    <col min="2" max="2" width="14.19921875" style="25" customWidth="1"/>
    <col min="3" max="5" width="14.19921875" style="52" customWidth="1"/>
    <col min="6" max="16384" width="9.19921875" style="9"/>
  </cols>
  <sheetData>
    <row r="1" spans="1:5">
      <c r="A1" s="219" t="s">
        <v>1851</v>
      </c>
      <c r="B1" s="219"/>
      <c r="C1" s="475"/>
      <c r="D1" s="475"/>
      <c r="E1" s="475"/>
    </row>
    <row r="2" spans="1:5">
      <c r="A2" s="241" t="str">
        <f>+'BS1'!A2</f>
        <v>NIDP DEVELOPERS PRIVATE LIMITED</v>
      </c>
      <c r="B2" s="39"/>
      <c r="C2" s="1033"/>
      <c r="D2" s="1033"/>
      <c r="E2" s="1033"/>
    </row>
    <row r="3" spans="1:5">
      <c r="A3" s="279" t="s">
        <v>1224</v>
      </c>
      <c r="B3" s="279"/>
      <c r="C3" s="1034"/>
      <c r="D3" s="1034"/>
      <c r="E3" s="1034"/>
    </row>
    <row r="4" spans="1:5">
      <c r="A4" s="159"/>
      <c r="B4" s="159"/>
      <c r="C4" s="1035"/>
      <c r="D4" s="1035"/>
      <c r="E4" s="1035"/>
    </row>
    <row r="5" spans="1:5" ht="15.75" customHeight="1">
      <c r="A5" s="1488" t="s">
        <v>1002</v>
      </c>
      <c r="B5" s="1570" t="s">
        <v>1223</v>
      </c>
      <c r="C5" s="1586"/>
      <c r="D5" s="1586"/>
      <c r="E5" s="1586"/>
    </row>
    <row r="6" spans="1:5" ht="21.75" customHeight="1">
      <c r="A6" s="1488"/>
      <c r="B6" s="146" t="s">
        <v>703</v>
      </c>
      <c r="C6" s="152" t="s">
        <v>1573</v>
      </c>
      <c r="D6" s="152" t="s">
        <v>344</v>
      </c>
      <c r="E6" s="152" t="s">
        <v>739</v>
      </c>
    </row>
    <row r="7" spans="1:5" ht="20.25" customHeight="1">
      <c r="A7" s="1488"/>
      <c r="B7" s="146" t="s">
        <v>342</v>
      </c>
      <c r="C7" s="146" t="s">
        <v>343</v>
      </c>
      <c r="D7" s="146" t="s">
        <v>1442</v>
      </c>
      <c r="E7" s="146" t="s">
        <v>2024</v>
      </c>
    </row>
    <row r="8" spans="1:5" ht="28.5">
      <c r="A8" s="1488"/>
      <c r="B8" s="146" t="s">
        <v>347</v>
      </c>
      <c r="C8" s="152" t="s">
        <v>338</v>
      </c>
      <c r="D8" s="151" t="s">
        <v>346</v>
      </c>
      <c r="E8" s="152" t="s">
        <v>183</v>
      </c>
    </row>
    <row r="9" spans="1:5" hidden="1">
      <c r="A9" s="15" t="s">
        <v>1019</v>
      </c>
      <c r="B9" s="2157" t="s">
        <v>2062</v>
      </c>
      <c r="C9" s="33"/>
      <c r="D9" s="33"/>
      <c r="E9" s="33"/>
    </row>
    <row r="10" spans="1:5" hidden="1">
      <c r="A10" s="366" t="s">
        <v>1020</v>
      </c>
      <c r="B10" s="2158"/>
      <c r="C10" s="4"/>
      <c r="D10" s="4"/>
      <c r="E10" s="4"/>
    </row>
    <row r="11" spans="1:5" hidden="1">
      <c r="A11" s="366" t="s">
        <v>1023</v>
      </c>
      <c r="B11" s="2158"/>
      <c r="C11" s="4"/>
      <c r="D11" s="4"/>
      <c r="E11" s="4"/>
    </row>
    <row r="12" spans="1:5" hidden="1">
      <c r="A12" s="367"/>
      <c r="B12" s="2158"/>
      <c r="C12" s="6"/>
      <c r="D12" s="6"/>
      <c r="E12" s="6"/>
    </row>
    <row r="13" spans="1:5" hidden="1">
      <c r="A13" s="366" t="s">
        <v>1029</v>
      </c>
      <c r="B13" s="2158"/>
      <c r="C13" s="4"/>
      <c r="D13" s="4"/>
      <c r="E13" s="4"/>
    </row>
    <row r="14" spans="1:5" ht="14.45" hidden="1" customHeight="1">
      <c r="A14" s="367"/>
      <c r="B14" s="2158"/>
      <c r="C14" s="6"/>
      <c r="D14" s="6"/>
      <c r="E14" s="6"/>
    </row>
    <row r="15" spans="1:5" ht="14.45" hidden="1" customHeight="1">
      <c r="A15" s="366" t="s">
        <v>1030</v>
      </c>
      <c r="B15" s="2158"/>
      <c r="C15" s="4"/>
      <c r="D15" s="4"/>
      <c r="E15" s="4"/>
    </row>
    <row r="16" spans="1:5" ht="14.45" hidden="1" customHeight="1">
      <c r="A16" s="367"/>
      <c r="B16" s="2158"/>
      <c r="C16" s="6"/>
      <c r="D16" s="6"/>
      <c r="E16" s="6"/>
    </row>
    <row r="17" spans="1:5" ht="14.45" hidden="1" customHeight="1">
      <c r="A17" s="366" t="s">
        <v>1035</v>
      </c>
      <c r="B17" s="2158"/>
      <c r="C17" s="4"/>
      <c r="D17" s="4"/>
      <c r="E17" s="4"/>
    </row>
    <row r="18" spans="1:5" ht="14.45" hidden="1" customHeight="1">
      <c r="A18" s="36" t="s">
        <v>1245</v>
      </c>
      <c r="B18" s="2158"/>
      <c r="C18" s="668"/>
      <c r="D18" s="668"/>
      <c r="E18" s="668"/>
    </row>
    <row r="19" spans="1:5" ht="14.45" hidden="1" customHeight="1">
      <c r="A19" s="36"/>
      <c r="B19" s="2158"/>
      <c r="C19" s="668"/>
      <c r="D19" s="668"/>
      <c r="E19" s="668"/>
    </row>
    <row r="20" spans="1:5" ht="14.45" hidden="1" customHeight="1">
      <c r="A20" s="369" t="s">
        <v>1038</v>
      </c>
      <c r="B20" s="2158"/>
      <c r="C20" s="1036"/>
      <c r="D20" s="1036"/>
      <c r="E20" s="1036"/>
    </row>
    <row r="21" spans="1:5" ht="14.45" hidden="1" customHeight="1">
      <c r="A21" s="18"/>
      <c r="B21" s="2158"/>
      <c r="C21" s="668"/>
      <c r="D21" s="668"/>
      <c r="E21" s="668"/>
    </row>
    <row r="22" spans="1:5" ht="14.45" hidden="1" customHeight="1">
      <c r="A22" s="18" t="s">
        <v>1039</v>
      </c>
      <c r="B22" s="2158"/>
      <c r="C22" s="668"/>
      <c r="D22" s="668"/>
      <c r="E22" s="668"/>
    </row>
    <row r="23" spans="1:5" ht="14.45" hidden="1" customHeight="1">
      <c r="A23" s="369" t="s">
        <v>1040</v>
      </c>
      <c r="B23" s="2158"/>
      <c r="C23" s="1036"/>
      <c r="D23" s="1036"/>
      <c r="E23" s="1036"/>
    </row>
    <row r="24" spans="1:5" ht="14.45" hidden="1" customHeight="1">
      <c r="A24" s="369" t="s">
        <v>1043</v>
      </c>
      <c r="B24" s="2158"/>
      <c r="C24" s="1036"/>
      <c r="D24" s="1036"/>
      <c r="E24" s="1036"/>
    </row>
    <row r="25" spans="1:5" ht="14.45" hidden="1" customHeight="1">
      <c r="A25" s="369" t="s">
        <v>1044</v>
      </c>
      <c r="B25" s="2158"/>
      <c r="C25" s="1036"/>
      <c r="D25" s="1036"/>
      <c r="E25" s="1036"/>
    </row>
    <row r="26" spans="1:5" ht="14.45" hidden="1" customHeight="1">
      <c r="A26" s="369" t="s">
        <v>1045</v>
      </c>
      <c r="B26" s="2158"/>
      <c r="C26" s="1036"/>
      <c r="D26" s="1036"/>
      <c r="E26" s="1036"/>
    </row>
    <row r="27" spans="1:5" ht="14.45" hidden="1" customHeight="1">
      <c r="A27" s="369" t="s">
        <v>1049</v>
      </c>
      <c r="B27" s="2158"/>
      <c r="C27" s="1036"/>
      <c r="D27" s="1036"/>
      <c r="E27" s="1036"/>
    </row>
    <row r="28" spans="1:5" ht="14.45" hidden="1" customHeight="1">
      <c r="A28" s="18"/>
      <c r="B28" s="2158"/>
      <c r="C28" s="668"/>
      <c r="D28" s="668"/>
      <c r="E28" s="668"/>
    </row>
    <row r="29" spans="1:5" ht="14.45" hidden="1" customHeight="1">
      <c r="A29" s="18" t="s">
        <v>1050</v>
      </c>
      <c r="B29" s="2158"/>
      <c r="C29" s="668"/>
      <c r="D29" s="668"/>
      <c r="E29" s="668"/>
    </row>
    <row r="30" spans="1:5" ht="14.45" hidden="1" customHeight="1">
      <c r="A30" s="18" t="s">
        <v>1051</v>
      </c>
      <c r="B30" s="2158"/>
      <c r="C30" s="668"/>
      <c r="D30" s="668"/>
      <c r="E30" s="668"/>
    </row>
    <row r="31" spans="1:5" ht="14.45" hidden="1" customHeight="1">
      <c r="A31" s="18" t="s">
        <v>1052</v>
      </c>
      <c r="B31" s="2158"/>
      <c r="C31" s="668"/>
      <c r="D31" s="668"/>
      <c r="E31" s="668"/>
    </row>
    <row r="32" spans="1:5" ht="14.45" hidden="1" customHeight="1">
      <c r="A32" s="18" t="s">
        <v>1053</v>
      </c>
      <c r="B32" s="2158"/>
      <c r="C32" s="668"/>
      <c r="D32" s="668"/>
      <c r="E32" s="668"/>
    </row>
    <row r="33" spans="1:5" ht="14.45" hidden="1" customHeight="1">
      <c r="A33" s="18" t="s">
        <v>1054</v>
      </c>
      <c r="B33" s="2158"/>
      <c r="C33" s="668"/>
      <c r="D33" s="668"/>
      <c r="E33" s="668"/>
    </row>
    <row r="34" spans="1:5" ht="14.45" hidden="1" customHeight="1">
      <c r="A34" s="18" t="s">
        <v>1055</v>
      </c>
      <c r="B34" s="2158"/>
      <c r="C34" s="668"/>
      <c r="D34" s="668"/>
      <c r="E34" s="668"/>
    </row>
    <row r="35" spans="1:5" ht="14.45" hidden="1" customHeight="1">
      <c r="A35" s="18" t="s">
        <v>1056</v>
      </c>
      <c r="B35" s="2158"/>
      <c r="C35" s="668"/>
      <c r="D35" s="668"/>
      <c r="E35" s="668"/>
    </row>
    <row r="36" spans="1:5" ht="14.45" hidden="1" customHeight="1">
      <c r="A36" s="15" t="s">
        <v>1057</v>
      </c>
      <c r="B36" s="2158"/>
      <c r="C36" s="33"/>
      <c r="D36" s="33"/>
      <c r="E36" s="33"/>
    </row>
    <row r="37" spans="1:5" ht="14.45" hidden="1" customHeight="1">
      <c r="A37" s="368"/>
      <c r="B37" s="2158"/>
      <c r="C37" s="1032"/>
      <c r="D37" s="1032"/>
      <c r="E37" s="1032"/>
    </row>
    <row r="38" spans="1:5" ht="14.45" hidden="1" customHeight="1">
      <c r="A38" s="15" t="s">
        <v>1058</v>
      </c>
      <c r="B38" s="2158"/>
      <c r="C38" s="33"/>
      <c r="D38" s="33"/>
      <c r="E38" s="33"/>
    </row>
    <row r="39" spans="1:5" ht="14.45" hidden="1" customHeight="1">
      <c r="A39" s="366" t="s">
        <v>1059</v>
      </c>
      <c r="B39" s="2158"/>
      <c r="C39" s="4"/>
      <c r="D39" s="4"/>
      <c r="E39" s="4"/>
    </row>
    <row r="40" spans="1:5" ht="14.45" hidden="1" customHeight="1">
      <c r="A40" s="366" t="s">
        <v>1063</v>
      </c>
      <c r="B40" s="2158"/>
      <c r="C40" s="4"/>
      <c r="D40" s="4"/>
      <c r="E40" s="4"/>
    </row>
    <row r="41" spans="1:5" ht="14.45" hidden="1" customHeight="1">
      <c r="A41" s="274"/>
      <c r="B41" s="2158"/>
      <c r="C41" s="24"/>
      <c r="D41" s="24"/>
      <c r="E41" s="24"/>
    </row>
    <row r="42" spans="1:5" ht="14.45" hidden="1" customHeight="1">
      <c r="A42" s="15" t="s">
        <v>1066</v>
      </c>
      <c r="B42" s="2158"/>
      <c r="C42" s="33"/>
      <c r="D42" s="33"/>
      <c r="E42" s="33"/>
    </row>
    <row r="43" spans="1:5" ht="14.45" hidden="1" customHeight="1">
      <c r="A43" s="368"/>
      <c r="B43" s="2158"/>
      <c r="C43" s="1032"/>
      <c r="D43" s="1032"/>
      <c r="E43" s="1032"/>
    </row>
    <row r="44" spans="1:5" ht="14.45" hidden="1" customHeight="1">
      <c r="A44" s="15" t="s">
        <v>1067</v>
      </c>
      <c r="B44" s="2158"/>
      <c r="C44" s="33"/>
      <c r="D44" s="33"/>
      <c r="E44" s="33"/>
    </row>
    <row r="45" spans="1:5" ht="14.45" hidden="1" customHeight="1">
      <c r="A45" s="18" t="s">
        <v>1068</v>
      </c>
      <c r="B45" s="2158"/>
      <c r="C45" s="668"/>
      <c r="D45" s="668"/>
      <c r="E45" s="668"/>
    </row>
    <row r="46" spans="1:5" ht="14.45" hidden="1" customHeight="1">
      <c r="A46" s="18" t="s">
        <v>1069</v>
      </c>
      <c r="B46" s="2158"/>
      <c r="C46" s="668"/>
      <c r="D46" s="668"/>
      <c r="E46" s="668"/>
    </row>
    <row r="47" spans="1:5" ht="14.45" hidden="1" customHeight="1">
      <c r="A47" s="18" t="s">
        <v>1070</v>
      </c>
      <c r="B47" s="2158"/>
      <c r="C47" s="668"/>
      <c r="D47" s="668"/>
      <c r="E47" s="668"/>
    </row>
    <row r="48" spans="1:5" ht="14.45" hidden="1" customHeight="1">
      <c r="A48" s="369" t="s">
        <v>1071</v>
      </c>
      <c r="B48" s="2158"/>
      <c r="C48" s="1036"/>
      <c r="D48" s="1036"/>
      <c r="E48" s="1036"/>
    </row>
    <row r="49" spans="1:5" ht="14.45" hidden="1" customHeight="1">
      <c r="A49" s="18"/>
      <c r="B49" s="2158"/>
      <c r="C49" s="668"/>
      <c r="D49" s="668"/>
      <c r="E49" s="668"/>
    </row>
    <row r="50" spans="1:5" ht="14.45" hidden="1" customHeight="1">
      <c r="A50" s="15" t="s">
        <v>1072</v>
      </c>
      <c r="B50" s="2158"/>
      <c r="C50" s="33"/>
      <c r="D50" s="33"/>
      <c r="E50" s="33"/>
    </row>
    <row r="51" spans="1:5" ht="14.45" hidden="1" customHeight="1">
      <c r="A51" s="369" t="s">
        <v>1073</v>
      </c>
      <c r="B51" s="2158"/>
      <c r="C51" s="1036"/>
      <c r="D51" s="1036"/>
      <c r="E51" s="1036"/>
    </row>
    <row r="52" spans="1:5" ht="14.45" hidden="1" customHeight="1">
      <c r="A52" s="369" t="s">
        <v>1077</v>
      </c>
      <c r="B52" s="2158"/>
      <c r="C52" s="1036"/>
      <c r="D52" s="1036"/>
      <c r="E52" s="1036"/>
    </row>
    <row r="53" spans="1:5" ht="14.45" hidden="1" customHeight="1">
      <c r="A53" s="369" t="s">
        <v>1081</v>
      </c>
      <c r="B53" s="2158"/>
      <c r="C53" s="1036"/>
      <c r="D53" s="1036"/>
      <c r="E53" s="1036"/>
    </row>
    <row r="54" spans="1:5" ht="14.45" hidden="1" customHeight="1">
      <c r="A54" s="369" t="s">
        <v>1085</v>
      </c>
      <c r="B54" s="2158"/>
      <c r="C54" s="1036"/>
      <c r="D54" s="1036"/>
      <c r="E54" s="1036"/>
    </row>
    <row r="55" spans="1:5" ht="14.45" hidden="1" customHeight="1">
      <c r="A55" s="369" t="s">
        <v>1089</v>
      </c>
      <c r="B55" s="2158"/>
      <c r="C55" s="1036"/>
      <c r="D55" s="1036"/>
      <c r="E55" s="1036"/>
    </row>
    <row r="56" spans="1:5" ht="14.45" hidden="1" customHeight="1">
      <c r="A56" s="18"/>
      <c r="B56" s="2158"/>
      <c r="C56" s="668"/>
      <c r="D56" s="668"/>
      <c r="E56" s="668"/>
    </row>
    <row r="57" spans="1:5" ht="14.45" hidden="1" customHeight="1">
      <c r="A57" s="15" t="s">
        <v>1090</v>
      </c>
      <c r="B57" s="2158"/>
      <c r="C57" s="33"/>
      <c r="D57" s="33"/>
      <c r="E57" s="33"/>
    </row>
    <row r="58" spans="1:5" ht="14.45" hidden="1" customHeight="1">
      <c r="A58" s="368" t="s">
        <v>1091</v>
      </c>
      <c r="B58" s="2158"/>
      <c r="C58" s="1032"/>
      <c r="D58" s="1032"/>
      <c r="E58" s="1032"/>
    </row>
    <row r="59" spans="1:5" ht="14.45" hidden="1" customHeight="1">
      <c r="A59" s="368" t="s">
        <v>1092</v>
      </c>
      <c r="B59" s="2158"/>
      <c r="C59" s="1032"/>
      <c r="D59" s="1032"/>
      <c r="E59" s="1032"/>
    </row>
    <row r="60" spans="1:5" ht="14.45" hidden="1" customHeight="1">
      <c r="A60" s="368" t="s">
        <v>1093</v>
      </c>
      <c r="B60" s="2158"/>
      <c r="C60" s="1032"/>
      <c r="D60" s="1032"/>
      <c r="E60" s="1032"/>
    </row>
    <row r="61" spans="1:5" ht="14.45" hidden="1" customHeight="1">
      <c r="A61" s="368" t="s">
        <v>1094</v>
      </c>
      <c r="B61" s="2158"/>
      <c r="C61" s="1032"/>
      <c r="D61" s="1032"/>
      <c r="E61" s="1032"/>
    </row>
    <row r="62" spans="1:5" ht="14.45" hidden="1" customHeight="1">
      <c r="A62" s="368" t="s">
        <v>1095</v>
      </c>
      <c r="B62" s="2158"/>
      <c r="C62" s="1032"/>
      <c r="D62" s="1032"/>
      <c r="E62" s="1032"/>
    </row>
    <row r="63" spans="1:5" ht="14.45" hidden="1" customHeight="1">
      <c r="A63" s="368" t="s">
        <v>1096</v>
      </c>
      <c r="B63" s="2158"/>
      <c r="C63" s="1032"/>
      <c r="D63" s="1032"/>
      <c r="E63" s="1032"/>
    </row>
    <row r="64" spans="1:5" ht="14.45" hidden="1" customHeight="1">
      <c r="A64" s="15" t="s">
        <v>1097</v>
      </c>
      <c r="B64" s="2158"/>
      <c r="C64" s="33"/>
      <c r="D64" s="33"/>
      <c r="E64" s="33"/>
    </row>
    <row r="65" spans="1:5" ht="15.75" hidden="1" customHeight="1">
      <c r="A65" s="368"/>
      <c r="B65" s="2158"/>
      <c r="C65" s="1032"/>
      <c r="D65" s="1032"/>
      <c r="E65" s="1032"/>
    </row>
    <row r="66" spans="1:5" ht="14.45" hidden="1" customHeight="1">
      <c r="A66" s="15" t="s">
        <v>1098</v>
      </c>
      <c r="B66" s="2158"/>
      <c r="C66" s="33"/>
      <c r="D66" s="33"/>
      <c r="E66" s="33"/>
    </row>
    <row r="67" spans="1:5" ht="14.45" hidden="1" customHeight="1">
      <c r="A67" s="367" t="s">
        <v>1099</v>
      </c>
      <c r="B67" s="2158"/>
      <c r="C67" s="6"/>
      <c r="D67" s="6"/>
      <c r="E67" s="6"/>
    </row>
    <row r="68" spans="1:5" ht="14.45" hidden="1" customHeight="1">
      <c r="A68" s="367" t="s">
        <v>1100</v>
      </c>
      <c r="B68" s="2158"/>
      <c r="C68" s="6"/>
      <c r="D68" s="6"/>
      <c r="E68" s="6"/>
    </row>
    <row r="69" spans="1:5" ht="14.45" hidden="1" customHeight="1">
      <c r="A69" s="367" t="s">
        <v>1101</v>
      </c>
      <c r="B69" s="2158"/>
      <c r="C69" s="6"/>
      <c r="D69" s="6"/>
      <c r="E69" s="6"/>
    </row>
    <row r="70" spans="1:5" ht="14.45" hidden="1" customHeight="1">
      <c r="A70" s="15" t="s">
        <v>1102</v>
      </c>
      <c r="B70" s="2158"/>
      <c r="C70" s="33"/>
      <c r="D70" s="33"/>
      <c r="E70" s="33"/>
    </row>
    <row r="71" spans="1:5" ht="14.45" customHeight="1">
      <c r="A71" s="274"/>
      <c r="B71" s="2158"/>
      <c r="C71" s="24"/>
      <c r="D71" s="24"/>
      <c r="E71" s="24"/>
    </row>
    <row r="72" spans="1:5" ht="14.45" customHeight="1">
      <c r="A72" s="15" t="s">
        <v>1103</v>
      </c>
      <c r="B72" s="2158"/>
      <c r="C72" s="33"/>
      <c r="D72" s="33"/>
      <c r="E72" s="33"/>
    </row>
    <row r="73" spans="1:5" ht="14.45" customHeight="1">
      <c r="A73" s="367" t="s">
        <v>1104</v>
      </c>
      <c r="B73" s="2158"/>
      <c r="C73" s="6"/>
      <c r="D73" s="6"/>
      <c r="E73" s="6"/>
    </row>
    <row r="74" spans="1:5" ht="14.45" customHeight="1">
      <c r="A74" s="367" t="s">
        <v>1105</v>
      </c>
      <c r="B74" s="2158"/>
      <c r="C74" s="6"/>
      <c r="D74" s="6"/>
      <c r="E74" s="6"/>
    </row>
    <row r="75" spans="1:5" ht="14.45" customHeight="1">
      <c r="A75" s="367" t="s">
        <v>1106</v>
      </c>
      <c r="B75" s="2158"/>
      <c r="C75" s="6"/>
      <c r="D75" s="6"/>
      <c r="E75" s="6"/>
    </row>
    <row r="76" spans="1:5" ht="14.45" customHeight="1">
      <c r="A76" s="367" t="s">
        <v>1107</v>
      </c>
      <c r="B76" s="2158"/>
      <c r="C76" s="6"/>
      <c r="D76" s="6"/>
      <c r="E76" s="6"/>
    </row>
    <row r="77" spans="1:5" ht="14.45" customHeight="1">
      <c r="A77" s="15" t="s">
        <v>1108</v>
      </c>
      <c r="B77" s="2158"/>
      <c r="C77" s="33"/>
      <c r="D77" s="33"/>
      <c r="E77" s="33"/>
    </row>
    <row r="78" spans="1:5" ht="14.45" hidden="1" customHeight="1">
      <c r="A78" s="274"/>
      <c r="B78" s="2158"/>
      <c r="C78" s="24"/>
      <c r="D78" s="24"/>
      <c r="E78" s="24"/>
    </row>
    <row r="79" spans="1:5" ht="14.45" hidden="1" customHeight="1">
      <c r="A79" s="15" t="s">
        <v>1109</v>
      </c>
      <c r="B79" s="2158"/>
      <c r="C79" s="33"/>
      <c r="D79" s="33"/>
      <c r="E79" s="33"/>
    </row>
    <row r="80" spans="1:5" ht="14.45" hidden="1" customHeight="1">
      <c r="A80" s="367" t="s">
        <v>1110</v>
      </c>
      <c r="B80" s="2158"/>
      <c r="C80" s="6"/>
      <c r="D80" s="6"/>
      <c r="E80" s="6"/>
    </row>
    <row r="81" spans="1:5" ht="14.45" hidden="1" customHeight="1">
      <c r="A81" s="367" t="s">
        <v>1111</v>
      </c>
      <c r="B81" s="2158"/>
      <c r="C81" s="6"/>
      <c r="D81" s="6"/>
      <c r="E81" s="6"/>
    </row>
    <row r="82" spans="1:5" ht="14.45" hidden="1" customHeight="1">
      <c r="A82" s="367" t="s">
        <v>1112</v>
      </c>
      <c r="B82" s="2158"/>
      <c r="C82" s="6"/>
      <c r="D82" s="6"/>
      <c r="E82" s="6"/>
    </row>
    <row r="83" spans="1:5" ht="14.45" hidden="1" customHeight="1">
      <c r="A83" s="367" t="s">
        <v>1113</v>
      </c>
      <c r="B83" s="2158"/>
      <c r="C83" s="6"/>
      <c r="D83" s="6"/>
      <c r="E83" s="6"/>
    </row>
    <row r="84" spans="1:5" ht="14.45" hidden="1" customHeight="1">
      <c r="A84" s="367" t="s">
        <v>1114</v>
      </c>
      <c r="B84" s="2158"/>
      <c r="C84" s="6"/>
      <c r="D84" s="6"/>
      <c r="E84" s="6"/>
    </row>
    <row r="85" spans="1:5" ht="14.45" hidden="1" customHeight="1">
      <c r="A85" s="367" t="s">
        <v>1115</v>
      </c>
      <c r="B85" s="2158"/>
      <c r="C85" s="6"/>
      <c r="D85" s="6"/>
      <c r="E85" s="6"/>
    </row>
    <row r="86" spans="1:5" ht="14.45" hidden="1" customHeight="1">
      <c r="A86" s="367" t="s">
        <v>1116</v>
      </c>
      <c r="B86" s="2158"/>
      <c r="C86" s="6"/>
      <c r="D86" s="6"/>
      <c r="E86" s="6"/>
    </row>
    <row r="87" spans="1:5" ht="14.45" hidden="1" customHeight="1">
      <c r="A87" s="367" t="s">
        <v>1117</v>
      </c>
      <c r="B87" s="2158"/>
      <c r="C87" s="6"/>
      <c r="D87" s="6"/>
      <c r="E87" s="6"/>
    </row>
    <row r="88" spans="1:5" ht="14.45" hidden="1" customHeight="1">
      <c r="A88" s="15" t="s">
        <v>1118</v>
      </c>
      <c r="B88" s="2158"/>
      <c r="C88" s="33"/>
      <c r="D88" s="33"/>
      <c r="E88" s="33"/>
    </row>
    <row r="89" spans="1:5" ht="14.45" customHeight="1">
      <c r="A89" s="368"/>
      <c r="B89" s="2158"/>
      <c r="C89" s="1032"/>
      <c r="D89" s="1032"/>
      <c r="E89" s="1032"/>
    </row>
    <row r="90" spans="1:5" ht="14.45" customHeight="1">
      <c r="A90" s="15" t="s">
        <v>1119</v>
      </c>
      <c r="B90" s="2158"/>
      <c r="C90" s="33"/>
      <c r="D90" s="33"/>
      <c r="E90" s="33"/>
    </row>
    <row r="91" spans="1:5" ht="14.45" customHeight="1">
      <c r="A91" s="367" t="s">
        <v>1120</v>
      </c>
      <c r="B91" s="2158"/>
      <c r="C91" s="6">
        <v>24</v>
      </c>
      <c r="D91" s="6">
        <v>24</v>
      </c>
      <c r="E91" s="6">
        <v>24</v>
      </c>
    </row>
    <row r="92" spans="1:5" ht="14.45" customHeight="1">
      <c r="A92" s="367" t="s">
        <v>1121</v>
      </c>
      <c r="B92" s="2158"/>
      <c r="C92" s="6"/>
      <c r="D92" s="6"/>
      <c r="E92" s="6"/>
    </row>
    <row r="93" spans="1:5" ht="14.45" customHeight="1">
      <c r="A93" s="367" t="s">
        <v>1122</v>
      </c>
      <c r="B93" s="2158"/>
      <c r="C93" s="6">
        <v>24</v>
      </c>
      <c r="D93" s="6">
        <v>24</v>
      </c>
      <c r="E93" s="6">
        <v>24</v>
      </c>
    </row>
    <row r="94" spans="1:5" ht="14.45" customHeight="1">
      <c r="A94" s="367" t="s">
        <v>1123</v>
      </c>
      <c r="B94" s="2158"/>
      <c r="C94" s="6"/>
      <c r="D94" s="6"/>
      <c r="E94" s="6"/>
    </row>
    <row r="95" spans="1:5" ht="14.45" customHeight="1">
      <c r="A95" s="15" t="s">
        <v>1124</v>
      </c>
      <c r="B95" s="2158"/>
      <c r="C95" s="33"/>
      <c r="D95" s="33"/>
      <c r="E95" s="33"/>
    </row>
    <row r="96" spans="1:5" ht="14.45" customHeight="1">
      <c r="A96" s="274"/>
      <c r="B96" s="2158"/>
      <c r="C96" s="24"/>
      <c r="D96" s="24"/>
      <c r="E96" s="24"/>
    </row>
    <row r="97" spans="1:5" ht="14.45" customHeight="1">
      <c r="A97" s="15" t="s">
        <v>1125</v>
      </c>
      <c r="B97" s="2158"/>
      <c r="C97" s="33"/>
      <c r="D97" s="33"/>
      <c r="E97" s="33"/>
    </row>
    <row r="98" spans="1:5" ht="14.45" customHeight="1">
      <c r="A98" s="366" t="s">
        <v>1126</v>
      </c>
      <c r="B98" s="2158"/>
      <c r="C98" s="6">
        <v>24</v>
      </c>
      <c r="D98" s="6">
        <v>24</v>
      </c>
      <c r="E98" s="6">
        <v>24</v>
      </c>
    </row>
    <row r="99" spans="1:5" ht="14.45" customHeight="1">
      <c r="A99" s="366" t="s">
        <v>1130</v>
      </c>
      <c r="B99" s="2158"/>
      <c r="C99" s="4"/>
      <c r="D99" s="4"/>
      <c r="E99" s="4"/>
    </row>
    <row r="100" spans="1:5" ht="14.45" customHeight="1">
      <c r="A100" s="366" t="s">
        <v>1134</v>
      </c>
      <c r="B100" s="2158"/>
      <c r="C100" s="4"/>
      <c r="D100" s="4"/>
      <c r="E100" s="4"/>
    </row>
    <row r="101" spans="1:5" ht="14.45" customHeight="1">
      <c r="A101" s="366" t="s">
        <v>1138</v>
      </c>
      <c r="B101" s="2158"/>
      <c r="C101" s="4"/>
      <c r="D101" s="4"/>
      <c r="E101" s="4"/>
    </row>
    <row r="102" spans="1:5" ht="14.45" customHeight="1">
      <c r="A102" s="366" t="s">
        <v>1142</v>
      </c>
      <c r="B102" s="2158"/>
      <c r="C102" s="6">
        <v>24</v>
      </c>
      <c r="D102" s="6">
        <v>24</v>
      </c>
      <c r="E102" s="6">
        <v>24</v>
      </c>
    </row>
    <row r="103" spans="1:5" ht="14.45" customHeight="1">
      <c r="A103" s="366" t="s">
        <v>1143</v>
      </c>
      <c r="B103" s="2158"/>
      <c r="C103" s="4"/>
      <c r="D103" s="4"/>
      <c r="E103" s="4"/>
    </row>
    <row r="104" spans="1:5" ht="14.45" customHeight="1">
      <c r="A104" s="15" t="s">
        <v>1144</v>
      </c>
      <c r="B104" s="2158"/>
      <c r="C104" s="33"/>
      <c r="D104" s="33"/>
      <c r="E104" s="33"/>
    </row>
    <row r="105" spans="1:5" ht="14.45" customHeight="1">
      <c r="A105" s="274"/>
      <c r="B105" s="2158"/>
      <c r="C105" s="24"/>
      <c r="D105" s="24"/>
      <c r="E105" s="24"/>
    </row>
    <row r="106" spans="1:5" ht="14.45" hidden="1" customHeight="1">
      <c r="A106" s="15" t="s">
        <v>1145</v>
      </c>
      <c r="B106" s="2158"/>
      <c r="C106" s="33"/>
      <c r="D106" s="33"/>
      <c r="E106" s="33"/>
    </row>
    <row r="107" spans="1:5" ht="14.45" hidden="1" customHeight="1">
      <c r="A107" s="15" t="s">
        <v>1149</v>
      </c>
      <c r="B107" s="2158"/>
      <c r="C107" s="33"/>
      <c r="D107" s="33"/>
      <c r="E107" s="33"/>
    </row>
    <row r="108" spans="1:5" ht="15.6" hidden="1" customHeight="1">
      <c r="A108" s="368"/>
      <c r="B108" s="2158"/>
      <c r="C108" s="1032"/>
      <c r="D108" s="1032"/>
      <c r="E108" s="1032"/>
    </row>
    <row r="109" spans="1:5" ht="14.45" hidden="1" customHeight="1">
      <c r="A109" s="15" t="s">
        <v>1150</v>
      </c>
      <c r="B109" s="2158"/>
      <c r="C109" s="33"/>
      <c r="D109" s="33"/>
      <c r="E109" s="33"/>
    </row>
    <row r="110" spans="1:5" ht="14.45" hidden="1" customHeight="1">
      <c r="A110" s="367" t="s">
        <v>1151</v>
      </c>
      <c r="B110" s="2158"/>
      <c r="C110" s="6"/>
      <c r="D110" s="6"/>
      <c r="E110" s="6"/>
    </row>
    <row r="111" spans="1:5" ht="14.45" hidden="1" customHeight="1">
      <c r="A111" s="367" t="s">
        <v>1152</v>
      </c>
      <c r="B111" s="2158"/>
      <c r="C111" s="6"/>
      <c r="D111" s="6"/>
      <c r="E111" s="6"/>
    </row>
    <row r="112" spans="1:5" ht="14.45" hidden="1" customHeight="1">
      <c r="A112" s="367" t="s">
        <v>1153</v>
      </c>
      <c r="B112" s="2158"/>
      <c r="C112" s="6"/>
      <c r="D112" s="6"/>
      <c r="E112" s="6"/>
    </row>
    <row r="113" spans="1:5" ht="14.45" hidden="1" customHeight="1">
      <c r="A113" s="15" t="s">
        <v>1154</v>
      </c>
      <c r="B113" s="2158"/>
      <c r="C113" s="33"/>
      <c r="D113" s="33"/>
      <c r="E113" s="33"/>
    </row>
    <row r="114" spans="1:5" ht="14.45" hidden="1" customHeight="1">
      <c r="A114" s="274"/>
      <c r="B114" s="2158"/>
      <c r="C114" s="24"/>
      <c r="D114" s="24"/>
      <c r="E114" s="24"/>
    </row>
    <row r="115" spans="1:5" ht="14.45" hidden="1" customHeight="1">
      <c r="A115" s="15" t="s">
        <v>1155</v>
      </c>
      <c r="B115" s="2158"/>
      <c r="C115" s="33"/>
      <c r="D115" s="33"/>
      <c r="E115" s="33"/>
    </row>
    <row r="116" spans="1:5" ht="14.45" hidden="1" customHeight="1">
      <c r="A116" s="274" t="s">
        <v>1156</v>
      </c>
      <c r="B116" s="2158"/>
      <c r="C116" s="24"/>
      <c r="D116" s="24"/>
      <c r="E116" s="24"/>
    </row>
    <row r="117" spans="1:5" ht="14.25" hidden="1" customHeight="1">
      <c r="A117" s="274"/>
      <c r="B117" s="2158"/>
      <c r="C117" s="24"/>
      <c r="D117" s="24"/>
      <c r="E117" s="24"/>
    </row>
    <row r="118" spans="1:5" ht="14.25" hidden="1" customHeight="1">
      <c r="A118" s="15" t="s">
        <v>1157</v>
      </c>
      <c r="B118" s="2158"/>
      <c r="C118" s="33"/>
      <c r="D118" s="33"/>
      <c r="E118" s="33"/>
    </row>
    <row r="119" spans="1:5" ht="14.25" hidden="1" customHeight="1">
      <c r="A119" s="54"/>
      <c r="B119" s="2158"/>
      <c r="C119" s="24"/>
      <c r="D119" s="24"/>
      <c r="E119" s="24"/>
    </row>
    <row r="120" spans="1:5" ht="14.25" hidden="1" customHeight="1">
      <c r="A120" s="15" t="s">
        <v>1158</v>
      </c>
      <c r="B120" s="2158"/>
      <c r="C120" s="33"/>
      <c r="D120" s="33"/>
      <c r="E120" s="33"/>
    </row>
    <row r="121" spans="1:5" ht="14.25" hidden="1" customHeight="1">
      <c r="A121" s="15" t="s">
        <v>1159</v>
      </c>
      <c r="B121" s="2158"/>
      <c r="C121" s="33"/>
      <c r="D121" s="33"/>
      <c r="E121" s="33"/>
    </row>
    <row r="122" spans="1:5" ht="14.25" hidden="1" customHeight="1">
      <c r="A122" s="274" t="s">
        <v>929</v>
      </c>
      <c r="B122" s="2158"/>
      <c r="C122" s="24"/>
      <c r="D122" s="24"/>
      <c r="E122" s="24"/>
    </row>
    <row r="123" spans="1:5" ht="14.25" hidden="1" customHeight="1">
      <c r="A123" s="274" t="s">
        <v>930</v>
      </c>
      <c r="B123" s="2158"/>
      <c r="C123" s="24"/>
      <c r="D123" s="24"/>
      <c r="E123" s="24"/>
    </row>
    <row r="124" spans="1:5" ht="14.25" hidden="1" customHeight="1">
      <c r="A124" s="15" t="s">
        <v>931</v>
      </c>
      <c r="B124" s="2158"/>
      <c r="C124" s="33"/>
      <c r="D124" s="33"/>
      <c r="E124" s="33"/>
    </row>
    <row r="125" spans="1:5" ht="14.25" hidden="1" customHeight="1">
      <c r="A125" s="274" t="s">
        <v>932</v>
      </c>
      <c r="B125" s="2158"/>
      <c r="C125" s="24"/>
      <c r="D125" s="24"/>
      <c r="E125" s="24"/>
    </row>
    <row r="126" spans="1:5" ht="14.25" hidden="1" customHeight="1">
      <c r="A126" s="274" t="s">
        <v>933</v>
      </c>
      <c r="B126" s="2158"/>
      <c r="C126" s="24"/>
      <c r="D126" s="24"/>
      <c r="E126" s="24"/>
    </row>
    <row r="127" spans="1:5" ht="14.25" customHeight="1">
      <c r="A127" s="274"/>
      <c r="B127" s="2159"/>
      <c r="C127" s="24"/>
      <c r="D127" s="24"/>
      <c r="E127" s="24"/>
    </row>
    <row r="128" spans="1:5" s="2" customFormat="1">
      <c r="A128" s="358" t="s">
        <v>188</v>
      </c>
      <c r="B128" s="358"/>
      <c r="C128" s="146"/>
      <c r="D128" s="146"/>
      <c r="E128" s="146"/>
    </row>
    <row r="129" spans="1:5" s="2" customFormat="1">
      <c r="A129" s="2155" t="s">
        <v>748</v>
      </c>
      <c r="B129" s="2156"/>
      <c r="C129" s="2156"/>
      <c r="D129" s="2156"/>
      <c r="E129" s="2156"/>
    </row>
  </sheetData>
  <mergeCells count="4">
    <mergeCell ref="B5:E5"/>
    <mergeCell ref="A129:E129"/>
    <mergeCell ref="A5:A8"/>
    <mergeCell ref="B9:B127"/>
  </mergeCells>
  <printOptions horizontalCentered="1"/>
  <pageMargins left="0.51181102362204722" right="0.51181102362204722" top="0.74803149606299213" bottom="0.55118110236220474" header="0.31496062992125984" footer="0.31496062992125984"/>
  <pageSetup paperSize="5" scale="85" orientation="portrait" r:id="rId1"/>
  <rowBreaks count="1" manualBreakCount="1">
    <brk id="48"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00FFFF"/>
  </sheetPr>
  <dimension ref="A1:G19"/>
  <sheetViews>
    <sheetView showGridLines="0" view="pageBreakPreview" zoomScale="91" zoomScaleNormal="84" zoomScaleSheetLayoutView="91" workbookViewId="0">
      <selection activeCell="D11" sqref="D11"/>
    </sheetView>
  </sheetViews>
  <sheetFormatPr defaultColWidth="9.19921875" defaultRowHeight="18.75" customHeight="1"/>
  <cols>
    <col min="1" max="1" width="18.46484375" bestFit="1" customWidth="1"/>
    <col min="2" max="2" width="45.19921875" customWidth="1"/>
    <col min="3" max="3" width="16.53125" customWidth="1"/>
    <col min="4" max="5" width="14.796875" bestFit="1" customWidth="1"/>
    <col min="6" max="6" width="12.53125" bestFit="1" customWidth="1"/>
  </cols>
  <sheetData>
    <row r="1" spans="1:7" ht="18.75" customHeight="1">
      <c r="A1" s="1487" t="str">
        <f>+'BS1'!A2</f>
        <v>NIDP DEVELOPERS PRIVATE LIMITED</v>
      </c>
      <c r="B1" s="1487"/>
      <c r="C1" s="1487"/>
      <c r="D1" s="1487"/>
      <c r="E1" s="1487"/>
      <c r="F1" s="1487"/>
    </row>
    <row r="2" spans="1:7" ht="18.75" customHeight="1">
      <c r="A2" s="277" t="s">
        <v>1850</v>
      </c>
      <c r="B2" s="34"/>
      <c r="C2" s="34"/>
      <c r="D2" s="34"/>
      <c r="E2" s="34"/>
      <c r="F2" s="34"/>
    </row>
    <row r="3" spans="1:7" ht="18.75" customHeight="1">
      <c r="A3" s="279" t="s">
        <v>1382</v>
      </c>
      <c r="B3" s="279"/>
      <c r="C3" s="279"/>
      <c r="D3" s="279"/>
      <c r="E3" s="279"/>
    </row>
    <row r="4" spans="1:7" ht="18.75" customHeight="1">
      <c r="A4" s="14"/>
    </row>
    <row r="5" spans="1:7" ht="31.5" customHeight="1">
      <c r="A5" s="2160" t="s">
        <v>44</v>
      </c>
      <c r="B5" s="2160" t="s">
        <v>10</v>
      </c>
      <c r="C5" s="1037" t="s">
        <v>703</v>
      </c>
      <c r="D5" s="1037" t="s">
        <v>1573</v>
      </c>
      <c r="E5" s="1037" t="s">
        <v>344</v>
      </c>
      <c r="F5" s="1037" t="s">
        <v>739</v>
      </c>
    </row>
    <row r="6" spans="1:7" ht="18.75" customHeight="1">
      <c r="A6" s="2160"/>
      <c r="B6" s="2160"/>
      <c r="C6" s="1037" t="s">
        <v>342</v>
      </c>
      <c r="D6" s="1037" t="s">
        <v>343</v>
      </c>
      <c r="E6" s="1037" t="s">
        <v>1442</v>
      </c>
      <c r="F6" s="1037" t="s">
        <v>2024</v>
      </c>
      <c r="G6" s="475"/>
    </row>
    <row r="7" spans="1:7" ht="28.5">
      <c r="A7" s="231">
        <v>1</v>
      </c>
      <c r="B7" s="479" t="s">
        <v>1397</v>
      </c>
      <c r="C7" s="2161" t="s">
        <v>2062</v>
      </c>
      <c r="D7" s="638"/>
      <c r="E7" s="602"/>
      <c r="F7" s="602"/>
    </row>
    <row r="8" spans="1:7" ht="14.25">
      <c r="A8" s="231">
        <v>2</v>
      </c>
      <c r="B8" s="332" t="s">
        <v>1398</v>
      </c>
      <c r="C8" s="2162"/>
      <c r="D8" s="1029" t="s">
        <v>2154</v>
      </c>
      <c r="E8" s="1029" t="s">
        <v>2154</v>
      </c>
      <c r="F8" s="1029" t="s">
        <v>2154</v>
      </c>
    </row>
    <row r="9" spans="1:7" ht="33.75" customHeight="1">
      <c r="A9" s="231">
        <f>A8+1</f>
        <v>3</v>
      </c>
      <c r="B9" s="332" t="s">
        <v>1399</v>
      </c>
      <c r="C9" s="2162"/>
      <c r="D9" s="1029" t="s">
        <v>2154</v>
      </c>
      <c r="E9" s="1029" t="s">
        <v>2154</v>
      </c>
      <c r="F9" s="1029" t="s">
        <v>2154</v>
      </c>
    </row>
    <row r="10" spans="1:7" ht="14.25">
      <c r="A10" s="231">
        <f>A9+1</f>
        <v>4</v>
      </c>
      <c r="B10" s="332" t="s">
        <v>1400</v>
      </c>
      <c r="C10" s="2162"/>
      <c r="D10" s="638"/>
      <c r="E10" s="602"/>
      <c r="F10" s="302"/>
    </row>
    <row r="11" spans="1:7" ht="18.75" customHeight="1">
      <c r="A11" s="231">
        <v>5</v>
      </c>
      <c r="B11" s="332" t="s">
        <v>1401</v>
      </c>
      <c r="C11" s="2162"/>
      <c r="D11" s="638"/>
      <c r="E11" s="602"/>
      <c r="F11" s="602"/>
    </row>
    <row r="12" spans="1:7" ht="27.75" customHeight="1">
      <c r="A12" s="231">
        <f>A11+1</f>
        <v>6</v>
      </c>
      <c r="B12" s="332" t="s">
        <v>1403</v>
      </c>
      <c r="C12" s="2162"/>
      <c r="D12" s="639"/>
      <c r="E12" s="639"/>
      <c r="F12" s="639"/>
    </row>
    <row r="13" spans="1:7" ht="35.25" customHeight="1">
      <c r="A13" s="480">
        <v>7</v>
      </c>
      <c r="B13" s="481" t="s">
        <v>1402</v>
      </c>
      <c r="C13" s="2162"/>
      <c r="D13" s="557"/>
      <c r="E13" s="557"/>
      <c r="F13" s="557"/>
    </row>
    <row r="14" spans="1:7" ht="35.25" customHeight="1">
      <c r="A14" s="480">
        <v>8</v>
      </c>
      <c r="B14" s="481" t="s">
        <v>1750</v>
      </c>
      <c r="C14" s="2162"/>
      <c r="D14" s="557"/>
      <c r="E14" s="557"/>
      <c r="F14" s="557"/>
    </row>
    <row r="15" spans="1:7" ht="18.75" customHeight="1">
      <c r="A15" s="17"/>
      <c r="B15" s="640" t="s">
        <v>1429</v>
      </c>
      <c r="C15" s="2163"/>
      <c r="D15" s="679"/>
      <c r="E15" s="679"/>
      <c r="F15" s="679"/>
    </row>
    <row r="16" spans="1:7" ht="18.75" customHeight="1">
      <c r="A16" s="14"/>
      <c r="B16" s="128"/>
      <c r="C16" s="128"/>
      <c r="D16" s="473"/>
      <c r="E16" s="473"/>
      <c r="F16" s="473"/>
    </row>
    <row r="17" spans="1:6" ht="18.75" customHeight="1">
      <c r="A17" s="14"/>
      <c r="B17" s="128"/>
      <c r="C17" s="128"/>
      <c r="D17" s="473"/>
      <c r="E17" s="473"/>
      <c r="F17" s="473"/>
    </row>
    <row r="18" spans="1:6" ht="18.75" customHeight="1">
      <c r="A18" s="14"/>
      <c r="B18" s="128"/>
      <c r="C18" s="128"/>
      <c r="D18" s="473"/>
      <c r="E18" s="473"/>
      <c r="F18" s="473"/>
    </row>
    <row r="19" spans="1:6" ht="18.75" customHeight="1">
      <c r="E19" s="1670"/>
      <c r="F19" s="1670"/>
    </row>
  </sheetData>
  <mergeCells count="5">
    <mergeCell ref="A5:A6"/>
    <mergeCell ref="B5:B6"/>
    <mergeCell ref="E19:F19"/>
    <mergeCell ref="A1:F1"/>
    <mergeCell ref="C7:C15"/>
  </mergeCells>
  <printOptions horizontalCentered="1"/>
  <pageMargins left="0.70866141732283472" right="0.70866141732283472" top="0.74803149606299213" bottom="0.74803149606299213" header="0.31496062992125984" footer="0.31496062992125984"/>
  <pageSetup paperSize="5" scale="115"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tabColor rgb="FF00FFFF"/>
    <pageSetUpPr fitToPage="1"/>
  </sheetPr>
  <dimension ref="A1:O51"/>
  <sheetViews>
    <sheetView showGridLines="0" zoomScale="90" zoomScaleNormal="90" zoomScaleSheetLayoutView="100" workbookViewId="0">
      <selection activeCell="P13" sqref="P13"/>
    </sheetView>
  </sheetViews>
  <sheetFormatPr defaultRowHeight="14.25"/>
  <cols>
    <col min="1" max="1" width="6.19921875" style="3" customWidth="1"/>
    <col min="2" max="2" width="30.796875" style="3" customWidth="1"/>
    <col min="3" max="5" width="11.19921875" style="3" customWidth="1"/>
    <col min="6" max="14" width="11.19921875" style="695" customWidth="1"/>
    <col min="15" max="219" width="9.19921875" style="3"/>
    <col min="220" max="220" width="6.46484375" style="3" customWidth="1"/>
    <col min="221" max="221" width="37.53125" style="3" customWidth="1"/>
    <col min="222" max="222" width="9.19921875" style="3"/>
    <col min="223" max="223" width="8.796875" style="3" bestFit="1" customWidth="1"/>
    <col min="224" max="224" width="10" style="3" bestFit="1" customWidth="1"/>
    <col min="225" max="226" width="9.19921875" style="3"/>
    <col min="227" max="227" width="10" style="3" bestFit="1" customWidth="1"/>
    <col min="228" max="244" width="9.19921875" style="3"/>
    <col min="245" max="245" width="10" style="3" bestFit="1" customWidth="1"/>
    <col min="246" max="247" width="9.19921875" style="3"/>
    <col min="248" max="248" width="10" style="3" bestFit="1" customWidth="1"/>
    <col min="249" max="253" width="9.19921875" style="3"/>
    <col min="254" max="254" width="10" style="3" bestFit="1" customWidth="1"/>
    <col min="255" max="475" width="9.19921875" style="3"/>
    <col min="476" max="476" width="6.46484375" style="3" customWidth="1"/>
    <col min="477" max="477" width="37.53125" style="3" customWidth="1"/>
    <col min="478" max="478" width="9.19921875" style="3"/>
    <col min="479" max="479" width="8.796875" style="3" bestFit="1" customWidth="1"/>
    <col min="480" max="480" width="10" style="3" bestFit="1" customWidth="1"/>
    <col min="481" max="482" width="9.19921875" style="3"/>
    <col min="483" max="483" width="10" style="3" bestFit="1" customWidth="1"/>
    <col min="484" max="500" width="9.19921875" style="3"/>
    <col min="501" max="501" width="10" style="3" bestFit="1" customWidth="1"/>
    <col min="502" max="503" width="9.19921875" style="3"/>
    <col min="504" max="504" width="10" style="3" bestFit="1" customWidth="1"/>
    <col min="505" max="509" width="9.19921875" style="3"/>
    <col min="510" max="510" width="10" style="3" bestFit="1" customWidth="1"/>
    <col min="511" max="731" width="9.19921875" style="3"/>
    <col min="732" max="732" width="6.46484375" style="3" customWidth="1"/>
    <col min="733" max="733" width="37.53125" style="3" customWidth="1"/>
    <col min="734" max="734" width="9.19921875" style="3"/>
    <col min="735" max="735" width="8.796875" style="3" bestFit="1" customWidth="1"/>
    <col min="736" max="736" width="10" style="3" bestFit="1" customWidth="1"/>
    <col min="737" max="738" width="9.19921875" style="3"/>
    <col min="739" max="739" width="10" style="3" bestFit="1" customWidth="1"/>
    <col min="740" max="756" width="9.19921875" style="3"/>
    <col min="757" max="757" width="10" style="3" bestFit="1" customWidth="1"/>
    <col min="758" max="759" width="9.19921875" style="3"/>
    <col min="760" max="760" width="10" style="3" bestFit="1" customWidth="1"/>
    <col min="761" max="765" width="9.19921875" style="3"/>
    <col min="766" max="766" width="10" style="3" bestFit="1" customWidth="1"/>
    <col min="767" max="987" width="9.19921875" style="3"/>
    <col min="988" max="988" width="6.46484375" style="3" customWidth="1"/>
    <col min="989" max="989" width="37.53125" style="3" customWidth="1"/>
    <col min="990" max="990" width="9.19921875" style="3"/>
    <col min="991" max="991" width="8.796875" style="3" bestFit="1" customWidth="1"/>
    <col min="992" max="992" width="10" style="3" bestFit="1" customWidth="1"/>
    <col min="993" max="994" width="9.19921875" style="3"/>
    <col min="995" max="995" width="10" style="3" bestFit="1" customWidth="1"/>
    <col min="996" max="1012" width="9.19921875" style="3"/>
    <col min="1013" max="1013" width="10" style="3" bestFit="1" customWidth="1"/>
    <col min="1014" max="1015" width="9.19921875" style="3"/>
    <col min="1016" max="1016" width="10" style="3" bestFit="1" customWidth="1"/>
    <col min="1017" max="1021" width="9.19921875" style="3"/>
    <col min="1022" max="1022" width="10" style="3" bestFit="1" customWidth="1"/>
    <col min="1023" max="1243" width="9.19921875" style="3"/>
    <col min="1244" max="1244" width="6.46484375" style="3" customWidth="1"/>
    <col min="1245" max="1245" width="37.53125" style="3" customWidth="1"/>
    <col min="1246" max="1246" width="9.19921875" style="3"/>
    <col min="1247" max="1247" width="8.796875" style="3" bestFit="1" customWidth="1"/>
    <col min="1248" max="1248" width="10" style="3" bestFit="1" customWidth="1"/>
    <col min="1249" max="1250" width="9.19921875" style="3"/>
    <col min="1251" max="1251" width="10" style="3" bestFit="1" customWidth="1"/>
    <col min="1252" max="1268" width="9.19921875" style="3"/>
    <col min="1269" max="1269" width="10" style="3" bestFit="1" customWidth="1"/>
    <col min="1270" max="1271" width="9.19921875" style="3"/>
    <col min="1272" max="1272" width="10" style="3" bestFit="1" customWidth="1"/>
    <col min="1273" max="1277" width="9.19921875" style="3"/>
    <col min="1278" max="1278" width="10" style="3" bestFit="1" customWidth="1"/>
    <col min="1279" max="1499" width="9.19921875" style="3"/>
    <col min="1500" max="1500" width="6.46484375" style="3" customWidth="1"/>
    <col min="1501" max="1501" width="37.53125" style="3" customWidth="1"/>
    <col min="1502" max="1502" width="9.19921875" style="3"/>
    <col min="1503" max="1503" width="8.796875" style="3" bestFit="1" customWidth="1"/>
    <col min="1504" max="1504" width="10" style="3" bestFit="1" customWidth="1"/>
    <col min="1505" max="1506" width="9.19921875" style="3"/>
    <col min="1507" max="1507" width="10" style="3" bestFit="1" customWidth="1"/>
    <col min="1508" max="1524" width="9.19921875" style="3"/>
    <col min="1525" max="1525" width="10" style="3" bestFit="1" customWidth="1"/>
    <col min="1526" max="1527" width="9.19921875" style="3"/>
    <col min="1528" max="1528" width="10" style="3" bestFit="1" customWidth="1"/>
    <col min="1529" max="1533" width="9.19921875" style="3"/>
    <col min="1534" max="1534" width="10" style="3" bestFit="1" customWidth="1"/>
    <col min="1535" max="1755" width="9.19921875" style="3"/>
    <col min="1756" max="1756" width="6.46484375" style="3" customWidth="1"/>
    <col min="1757" max="1757" width="37.53125" style="3" customWidth="1"/>
    <col min="1758" max="1758" width="9.19921875" style="3"/>
    <col min="1759" max="1759" width="8.796875" style="3" bestFit="1" customWidth="1"/>
    <col min="1760" max="1760" width="10" style="3" bestFit="1" customWidth="1"/>
    <col min="1761" max="1762" width="9.19921875" style="3"/>
    <col min="1763" max="1763" width="10" style="3" bestFit="1" customWidth="1"/>
    <col min="1764" max="1780" width="9.19921875" style="3"/>
    <col min="1781" max="1781" width="10" style="3" bestFit="1" customWidth="1"/>
    <col min="1782" max="1783" width="9.19921875" style="3"/>
    <col min="1784" max="1784" width="10" style="3" bestFit="1" customWidth="1"/>
    <col min="1785" max="1789" width="9.19921875" style="3"/>
    <col min="1790" max="1790" width="10" style="3" bestFit="1" customWidth="1"/>
    <col min="1791" max="2011" width="9.19921875" style="3"/>
    <col min="2012" max="2012" width="6.46484375" style="3" customWidth="1"/>
    <col min="2013" max="2013" width="37.53125" style="3" customWidth="1"/>
    <col min="2014" max="2014" width="9.19921875" style="3"/>
    <col min="2015" max="2015" width="8.796875" style="3" bestFit="1" customWidth="1"/>
    <col min="2016" max="2016" width="10" style="3" bestFit="1" customWidth="1"/>
    <col min="2017" max="2018" width="9.19921875" style="3"/>
    <col min="2019" max="2019" width="10" style="3" bestFit="1" customWidth="1"/>
    <col min="2020" max="2036" width="9.19921875" style="3"/>
    <col min="2037" max="2037" width="10" style="3" bestFit="1" customWidth="1"/>
    <col min="2038" max="2039" width="9.19921875" style="3"/>
    <col min="2040" max="2040" width="10" style="3" bestFit="1" customWidth="1"/>
    <col min="2041" max="2045" width="9.19921875" style="3"/>
    <col min="2046" max="2046" width="10" style="3" bestFit="1" customWidth="1"/>
    <col min="2047" max="2267" width="9.19921875" style="3"/>
    <col min="2268" max="2268" width="6.46484375" style="3" customWidth="1"/>
    <col min="2269" max="2269" width="37.53125" style="3" customWidth="1"/>
    <col min="2270" max="2270" width="9.19921875" style="3"/>
    <col min="2271" max="2271" width="8.796875" style="3" bestFit="1" customWidth="1"/>
    <col min="2272" max="2272" width="10" style="3" bestFit="1" customWidth="1"/>
    <col min="2273" max="2274" width="9.19921875" style="3"/>
    <col min="2275" max="2275" width="10" style="3" bestFit="1" customWidth="1"/>
    <col min="2276" max="2292" width="9.19921875" style="3"/>
    <col min="2293" max="2293" width="10" style="3" bestFit="1" customWidth="1"/>
    <col min="2294" max="2295" width="9.19921875" style="3"/>
    <col min="2296" max="2296" width="10" style="3" bestFit="1" customWidth="1"/>
    <col min="2297" max="2301" width="9.19921875" style="3"/>
    <col min="2302" max="2302" width="10" style="3" bestFit="1" customWidth="1"/>
    <col min="2303" max="2523" width="9.19921875" style="3"/>
    <col min="2524" max="2524" width="6.46484375" style="3" customWidth="1"/>
    <col min="2525" max="2525" width="37.53125" style="3" customWidth="1"/>
    <col min="2526" max="2526" width="9.19921875" style="3"/>
    <col min="2527" max="2527" width="8.796875" style="3" bestFit="1" customWidth="1"/>
    <col min="2528" max="2528" width="10" style="3" bestFit="1" customWidth="1"/>
    <col min="2529" max="2530" width="9.19921875" style="3"/>
    <col min="2531" max="2531" width="10" style="3" bestFit="1" customWidth="1"/>
    <col min="2532" max="2548" width="9.19921875" style="3"/>
    <col min="2549" max="2549" width="10" style="3" bestFit="1" customWidth="1"/>
    <col min="2550" max="2551" width="9.19921875" style="3"/>
    <col min="2552" max="2552" width="10" style="3" bestFit="1" customWidth="1"/>
    <col min="2553" max="2557" width="9.19921875" style="3"/>
    <col min="2558" max="2558" width="10" style="3" bestFit="1" customWidth="1"/>
    <col min="2559" max="2779" width="9.19921875" style="3"/>
    <col min="2780" max="2780" width="6.46484375" style="3" customWidth="1"/>
    <col min="2781" max="2781" width="37.53125" style="3" customWidth="1"/>
    <col min="2782" max="2782" width="9.19921875" style="3"/>
    <col min="2783" max="2783" width="8.796875" style="3" bestFit="1" customWidth="1"/>
    <col min="2784" max="2784" width="10" style="3" bestFit="1" customWidth="1"/>
    <col min="2785" max="2786" width="9.19921875" style="3"/>
    <col min="2787" max="2787" width="10" style="3" bestFit="1" customWidth="1"/>
    <col min="2788" max="2804" width="9.19921875" style="3"/>
    <col min="2805" max="2805" width="10" style="3" bestFit="1" customWidth="1"/>
    <col min="2806" max="2807" width="9.19921875" style="3"/>
    <col min="2808" max="2808" width="10" style="3" bestFit="1" customWidth="1"/>
    <col min="2809" max="2813" width="9.19921875" style="3"/>
    <col min="2814" max="2814" width="10" style="3" bestFit="1" customWidth="1"/>
    <col min="2815" max="3035" width="9.19921875" style="3"/>
    <col min="3036" max="3036" width="6.46484375" style="3" customWidth="1"/>
    <col min="3037" max="3037" width="37.53125" style="3" customWidth="1"/>
    <col min="3038" max="3038" width="9.19921875" style="3"/>
    <col min="3039" max="3039" width="8.796875" style="3" bestFit="1" customWidth="1"/>
    <col min="3040" max="3040" width="10" style="3" bestFit="1" customWidth="1"/>
    <col min="3041" max="3042" width="9.19921875" style="3"/>
    <col min="3043" max="3043" width="10" style="3" bestFit="1" customWidth="1"/>
    <col min="3044" max="3060" width="9.19921875" style="3"/>
    <col min="3061" max="3061" width="10" style="3" bestFit="1" customWidth="1"/>
    <col min="3062" max="3063" width="9.19921875" style="3"/>
    <col min="3064" max="3064" width="10" style="3" bestFit="1" customWidth="1"/>
    <col min="3065" max="3069" width="9.19921875" style="3"/>
    <col min="3070" max="3070" width="10" style="3" bestFit="1" customWidth="1"/>
    <col min="3071" max="3291" width="9.19921875" style="3"/>
    <col min="3292" max="3292" width="6.46484375" style="3" customWidth="1"/>
    <col min="3293" max="3293" width="37.53125" style="3" customWidth="1"/>
    <col min="3294" max="3294" width="9.19921875" style="3"/>
    <col min="3295" max="3295" width="8.796875" style="3" bestFit="1" customWidth="1"/>
    <col min="3296" max="3296" width="10" style="3" bestFit="1" customWidth="1"/>
    <col min="3297" max="3298" width="9.19921875" style="3"/>
    <col min="3299" max="3299" width="10" style="3" bestFit="1" customWidth="1"/>
    <col min="3300" max="3316" width="9.19921875" style="3"/>
    <col min="3317" max="3317" width="10" style="3" bestFit="1" customWidth="1"/>
    <col min="3318" max="3319" width="9.19921875" style="3"/>
    <col min="3320" max="3320" width="10" style="3" bestFit="1" customWidth="1"/>
    <col min="3321" max="3325" width="9.19921875" style="3"/>
    <col min="3326" max="3326" width="10" style="3" bestFit="1" customWidth="1"/>
    <col min="3327" max="3547" width="9.19921875" style="3"/>
    <col min="3548" max="3548" width="6.46484375" style="3" customWidth="1"/>
    <col min="3549" max="3549" width="37.53125" style="3" customWidth="1"/>
    <col min="3550" max="3550" width="9.19921875" style="3"/>
    <col min="3551" max="3551" width="8.796875" style="3" bestFit="1" customWidth="1"/>
    <col min="3552" max="3552" width="10" style="3" bestFit="1" customWidth="1"/>
    <col min="3553" max="3554" width="9.19921875" style="3"/>
    <col min="3555" max="3555" width="10" style="3" bestFit="1" customWidth="1"/>
    <col min="3556" max="3572" width="9.19921875" style="3"/>
    <col min="3573" max="3573" width="10" style="3" bestFit="1" customWidth="1"/>
    <col min="3574" max="3575" width="9.19921875" style="3"/>
    <col min="3576" max="3576" width="10" style="3" bestFit="1" customWidth="1"/>
    <col min="3577" max="3581" width="9.19921875" style="3"/>
    <col min="3582" max="3582" width="10" style="3" bestFit="1" customWidth="1"/>
    <col min="3583" max="3803" width="9.19921875" style="3"/>
    <col min="3804" max="3804" width="6.46484375" style="3" customWidth="1"/>
    <col min="3805" max="3805" width="37.53125" style="3" customWidth="1"/>
    <col min="3806" max="3806" width="9.19921875" style="3"/>
    <col min="3807" max="3807" width="8.796875" style="3" bestFit="1" customWidth="1"/>
    <col min="3808" max="3808" width="10" style="3" bestFit="1" customWidth="1"/>
    <col min="3809" max="3810" width="9.19921875" style="3"/>
    <col min="3811" max="3811" width="10" style="3" bestFit="1" customWidth="1"/>
    <col min="3812" max="3828" width="9.19921875" style="3"/>
    <col min="3829" max="3829" width="10" style="3" bestFit="1" customWidth="1"/>
    <col min="3830" max="3831" width="9.19921875" style="3"/>
    <col min="3832" max="3832" width="10" style="3" bestFit="1" customWidth="1"/>
    <col min="3833" max="3837" width="9.19921875" style="3"/>
    <col min="3838" max="3838" width="10" style="3" bestFit="1" customWidth="1"/>
    <col min="3839" max="4059" width="9.19921875" style="3"/>
    <col min="4060" max="4060" width="6.46484375" style="3" customWidth="1"/>
    <col min="4061" max="4061" width="37.53125" style="3" customWidth="1"/>
    <col min="4062" max="4062" width="9.19921875" style="3"/>
    <col min="4063" max="4063" width="8.796875" style="3" bestFit="1" customWidth="1"/>
    <col min="4064" max="4064" width="10" style="3" bestFit="1" customWidth="1"/>
    <col min="4065" max="4066" width="9.19921875" style="3"/>
    <col min="4067" max="4067" width="10" style="3" bestFit="1" customWidth="1"/>
    <col min="4068" max="4084" width="9.19921875" style="3"/>
    <col min="4085" max="4085" width="10" style="3" bestFit="1" customWidth="1"/>
    <col min="4086" max="4087" width="9.19921875" style="3"/>
    <col min="4088" max="4088" width="10" style="3" bestFit="1" customWidth="1"/>
    <col min="4089" max="4093" width="9.19921875" style="3"/>
    <col min="4094" max="4094" width="10" style="3" bestFit="1" customWidth="1"/>
    <col min="4095" max="4315" width="9.19921875" style="3"/>
    <col min="4316" max="4316" width="6.46484375" style="3" customWidth="1"/>
    <col min="4317" max="4317" width="37.53125" style="3" customWidth="1"/>
    <col min="4318" max="4318" width="9.19921875" style="3"/>
    <col min="4319" max="4319" width="8.796875" style="3" bestFit="1" customWidth="1"/>
    <col min="4320" max="4320" width="10" style="3" bestFit="1" customWidth="1"/>
    <col min="4321" max="4322" width="9.19921875" style="3"/>
    <col min="4323" max="4323" width="10" style="3" bestFit="1" customWidth="1"/>
    <col min="4324" max="4340" width="9.19921875" style="3"/>
    <col min="4341" max="4341" width="10" style="3" bestFit="1" customWidth="1"/>
    <col min="4342" max="4343" width="9.19921875" style="3"/>
    <col min="4344" max="4344" width="10" style="3" bestFit="1" customWidth="1"/>
    <col min="4345" max="4349" width="9.19921875" style="3"/>
    <col min="4350" max="4350" width="10" style="3" bestFit="1" customWidth="1"/>
    <col min="4351" max="4571" width="9.19921875" style="3"/>
    <col min="4572" max="4572" width="6.46484375" style="3" customWidth="1"/>
    <col min="4573" max="4573" width="37.53125" style="3" customWidth="1"/>
    <col min="4574" max="4574" width="9.19921875" style="3"/>
    <col min="4575" max="4575" width="8.796875" style="3" bestFit="1" customWidth="1"/>
    <col min="4576" max="4576" width="10" style="3" bestFit="1" customWidth="1"/>
    <col min="4577" max="4578" width="9.19921875" style="3"/>
    <col min="4579" max="4579" width="10" style="3" bestFit="1" customWidth="1"/>
    <col min="4580" max="4596" width="9.19921875" style="3"/>
    <col min="4597" max="4597" width="10" style="3" bestFit="1" customWidth="1"/>
    <col min="4598" max="4599" width="9.19921875" style="3"/>
    <col min="4600" max="4600" width="10" style="3" bestFit="1" customWidth="1"/>
    <col min="4601" max="4605" width="9.19921875" style="3"/>
    <col min="4606" max="4606" width="10" style="3" bestFit="1" customWidth="1"/>
    <col min="4607" max="4827" width="9.19921875" style="3"/>
    <col min="4828" max="4828" width="6.46484375" style="3" customWidth="1"/>
    <col min="4829" max="4829" width="37.53125" style="3" customWidth="1"/>
    <col min="4830" max="4830" width="9.19921875" style="3"/>
    <col min="4831" max="4831" width="8.796875" style="3" bestFit="1" customWidth="1"/>
    <col min="4832" max="4832" width="10" style="3" bestFit="1" customWidth="1"/>
    <col min="4833" max="4834" width="9.19921875" style="3"/>
    <col min="4835" max="4835" width="10" style="3" bestFit="1" customWidth="1"/>
    <col min="4836" max="4852" width="9.19921875" style="3"/>
    <col min="4853" max="4853" width="10" style="3" bestFit="1" customWidth="1"/>
    <col min="4854" max="4855" width="9.19921875" style="3"/>
    <col min="4856" max="4856" width="10" style="3" bestFit="1" customWidth="1"/>
    <col min="4857" max="4861" width="9.19921875" style="3"/>
    <col min="4862" max="4862" width="10" style="3" bestFit="1" customWidth="1"/>
    <col min="4863" max="5083" width="9.19921875" style="3"/>
    <col min="5084" max="5084" width="6.46484375" style="3" customWidth="1"/>
    <col min="5085" max="5085" width="37.53125" style="3" customWidth="1"/>
    <col min="5086" max="5086" width="9.19921875" style="3"/>
    <col min="5087" max="5087" width="8.796875" style="3" bestFit="1" customWidth="1"/>
    <col min="5088" max="5088" width="10" style="3" bestFit="1" customWidth="1"/>
    <col min="5089" max="5090" width="9.19921875" style="3"/>
    <col min="5091" max="5091" width="10" style="3" bestFit="1" customWidth="1"/>
    <col min="5092" max="5108" width="9.19921875" style="3"/>
    <col min="5109" max="5109" width="10" style="3" bestFit="1" customWidth="1"/>
    <col min="5110" max="5111" width="9.19921875" style="3"/>
    <col min="5112" max="5112" width="10" style="3" bestFit="1" customWidth="1"/>
    <col min="5113" max="5117" width="9.19921875" style="3"/>
    <col min="5118" max="5118" width="10" style="3" bestFit="1" customWidth="1"/>
    <col min="5119" max="5339" width="9.19921875" style="3"/>
    <col min="5340" max="5340" width="6.46484375" style="3" customWidth="1"/>
    <col min="5341" max="5341" width="37.53125" style="3" customWidth="1"/>
    <col min="5342" max="5342" width="9.19921875" style="3"/>
    <col min="5343" max="5343" width="8.796875" style="3" bestFit="1" customWidth="1"/>
    <col min="5344" max="5344" width="10" style="3" bestFit="1" customWidth="1"/>
    <col min="5345" max="5346" width="9.19921875" style="3"/>
    <col min="5347" max="5347" width="10" style="3" bestFit="1" customWidth="1"/>
    <col min="5348" max="5364" width="9.19921875" style="3"/>
    <col min="5365" max="5365" width="10" style="3" bestFit="1" customWidth="1"/>
    <col min="5366" max="5367" width="9.19921875" style="3"/>
    <col min="5368" max="5368" width="10" style="3" bestFit="1" customWidth="1"/>
    <col min="5369" max="5373" width="9.19921875" style="3"/>
    <col min="5374" max="5374" width="10" style="3" bestFit="1" customWidth="1"/>
    <col min="5375" max="5595" width="9.19921875" style="3"/>
    <col min="5596" max="5596" width="6.46484375" style="3" customWidth="1"/>
    <col min="5597" max="5597" width="37.53125" style="3" customWidth="1"/>
    <col min="5598" max="5598" width="9.19921875" style="3"/>
    <col min="5599" max="5599" width="8.796875" style="3" bestFit="1" customWidth="1"/>
    <col min="5600" max="5600" width="10" style="3" bestFit="1" customWidth="1"/>
    <col min="5601" max="5602" width="9.19921875" style="3"/>
    <col min="5603" max="5603" width="10" style="3" bestFit="1" customWidth="1"/>
    <col min="5604" max="5620" width="9.19921875" style="3"/>
    <col min="5621" max="5621" width="10" style="3" bestFit="1" customWidth="1"/>
    <col min="5622" max="5623" width="9.19921875" style="3"/>
    <col min="5624" max="5624" width="10" style="3" bestFit="1" customWidth="1"/>
    <col min="5625" max="5629" width="9.19921875" style="3"/>
    <col min="5630" max="5630" width="10" style="3" bestFit="1" customWidth="1"/>
    <col min="5631" max="5851" width="9.19921875" style="3"/>
    <col min="5852" max="5852" width="6.46484375" style="3" customWidth="1"/>
    <col min="5853" max="5853" width="37.53125" style="3" customWidth="1"/>
    <col min="5854" max="5854" width="9.19921875" style="3"/>
    <col min="5855" max="5855" width="8.796875" style="3" bestFit="1" customWidth="1"/>
    <col min="5856" max="5856" width="10" style="3" bestFit="1" customWidth="1"/>
    <col min="5857" max="5858" width="9.19921875" style="3"/>
    <col min="5859" max="5859" width="10" style="3" bestFit="1" customWidth="1"/>
    <col min="5860" max="5876" width="9.19921875" style="3"/>
    <col min="5877" max="5877" width="10" style="3" bestFit="1" customWidth="1"/>
    <col min="5878" max="5879" width="9.19921875" style="3"/>
    <col min="5880" max="5880" width="10" style="3" bestFit="1" customWidth="1"/>
    <col min="5881" max="5885" width="9.19921875" style="3"/>
    <col min="5886" max="5886" width="10" style="3" bestFit="1" customWidth="1"/>
    <col min="5887" max="6107" width="9.19921875" style="3"/>
    <col min="6108" max="6108" width="6.46484375" style="3" customWidth="1"/>
    <col min="6109" max="6109" width="37.53125" style="3" customWidth="1"/>
    <col min="6110" max="6110" width="9.19921875" style="3"/>
    <col min="6111" max="6111" width="8.796875" style="3" bestFit="1" customWidth="1"/>
    <col min="6112" max="6112" width="10" style="3" bestFit="1" customWidth="1"/>
    <col min="6113" max="6114" width="9.19921875" style="3"/>
    <col min="6115" max="6115" width="10" style="3" bestFit="1" customWidth="1"/>
    <col min="6116" max="6132" width="9.19921875" style="3"/>
    <col min="6133" max="6133" width="10" style="3" bestFit="1" customWidth="1"/>
    <col min="6134" max="6135" width="9.19921875" style="3"/>
    <col min="6136" max="6136" width="10" style="3" bestFit="1" customWidth="1"/>
    <col min="6137" max="6141" width="9.19921875" style="3"/>
    <col min="6142" max="6142" width="10" style="3" bestFit="1" customWidth="1"/>
    <col min="6143" max="6363" width="9.19921875" style="3"/>
    <col min="6364" max="6364" width="6.46484375" style="3" customWidth="1"/>
    <col min="6365" max="6365" width="37.53125" style="3" customWidth="1"/>
    <col min="6366" max="6366" width="9.19921875" style="3"/>
    <col min="6367" max="6367" width="8.796875" style="3" bestFit="1" customWidth="1"/>
    <col min="6368" max="6368" width="10" style="3" bestFit="1" customWidth="1"/>
    <col min="6369" max="6370" width="9.19921875" style="3"/>
    <col min="6371" max="6371" width="10" style="3" bestFit="1" customWidth="1"/>
    <col min="6372" max="6388" width="9.19921875" style="3"/>
    <col min="6389" max="6389" width="10" style="3" bestFit="1" customWidth="1"/>
    <col min="6390" max="6391" width="9.19921875" style="3"/>
    <col min="6392" max="6392" width="10" style="3" bestFit="1" customWidth="1"/>
    <col min="6393" max="6397" width="9.19921875" style="3"/>
    <col min="6398" max="6398" width="10" style="3" bestFit="1" customWidth="1"/>
    <col min="6399" max="6619" width="9.19921875" style="3"/>
    <col min="6620" max="6620" width="6.46484375" style="3" customWidth="1"/>
    <col min="6621" max="6621" width="37.53125" style="3" customWidth="1"/>
    <col min="6622" max="6622" width="9.19921875" style="3"/>
    <col min="6623" max="6623" width="8.796875" style="3" bestFit="1" customWidth="1"/>
    <col min="6624" max="6624" width="10" style="3" bestFit="1" customWidth="1"/>
    <col min="6625" max="6626" width="9.19921875" style="3"/>
    <col min="6627" max="6627" width="10" style="3" bestFit="1" customWidth="1"/>
    <col min="6628" max="6644" width="9.19921875" style="3"/>
    <col min="6645" max="6645" width="10" style="3" bestFit="1" customWidth="1"/>
    <col min="6646" max="6647" width="9.19921875" style="3"/>
    <col min="6648" max="6648" width="10" style="3" bestFit="1" customWidth="1"/>
    <col min="6649" max="6653" width="9.19921875" style="3"/>
    <col min="6654" max="6654" width="10" style="3" bestFit="1" customWidth="1"/>
    <col min="6655" max="6875" width="9.19921875" style="3"/>
    <col min="6876" max="6876" width="6.46484375" style="3" customWidth="1"/>
    <col min="6877" max="6877" width="37.53125" style="3" customWidth="1"/>
    <col min="6878" max="6878" width="9.19921875" style="3"/>
    <col min="6879" max="6879" width="8.796875" style="3" bestFit="1" customWidth="1"/>
    <col min="6880" max="6880" width="10" style="3" bestFit="1" customWidth="1"/>
    <col min="6881" max="6882" width="9.19921875" style="3"/>
    <col min="6883" max="6883" width="10" style="3" bestFit="1" customWidth="1"/>
    <col min="6884" max="6900" width="9.19921875" style="3"/>
    <col min="6901" max="6901" width="10" style="3" bestFit="1" customWidth="1"/>
    <col min="6902" max="6903" width="9.19921875" style="3"/>
    <col min="6904" max="6904" width="10" style="3" bestFit="1" customWidth="1"/>
    <col min="6905" max="6909" width="9.19921875" style="3"/>
    <col min="6910" max="6910" width="10" style="3" bestFit="1" customWidth="1"/>
    <col min="6911" max="7131" width="9.19921875" style="3"/>
    <col min="7132" max="7132" width="6.46484375" style="3" customWidth="1"/>
    <col min="7133" max="7133" width="37.53125" style="3" customWidth="1"/>
    <col min="7134" max="7134" width="9.19921875" style="3"/>
    <col min="7135" max="7135" width="8.796875" style="3" bestFit="1" customWidth="1"/>
    <col min="7136" max="7136" width="10" style="3" bestFit="1" customWidth="1"/>
    <col min="7137" max="7138" width="9.19921875" style="3"/>
    <col min="7139" max="7139" width="10" style="3" bestFit="1" customWidth="1"/>
    <col min="7140" max="7156" width="9.19921875" style="3"/>
    <col min="7157" max="7157" width="10" style="3" bestFit="1" customWidth="1"/>
    <col min="7158" max="7159" width="9.19921875" style="3"/>
    <col min="7160" max="7160" width="10" style="3" bestFit="1" customWidth="1"/>
    <col min="7161" max="7165" width="9.19921875" style="3"/>
    <col min="7166" max="7166" width="10" style="3" bestFit="1" customWidth="1"/>
    <col min="7167" max="7387" width="9.19921875" style="3"/>
    <col min="7388" max="7388" width="6.46484375" style="3" customWidth="1"/>
    <col min="7389" max="7389" width="37.53125" style="3" customWidth="1"/>
    <col min="7390" max="7390" width="9.19921875" style="3"/>
    <col min="7391" max="7391" width="8.796875" style="3" bestFit="1" customWidth="1"/>
    <col min="7392" max="7392" width="10" style="3" bestFit="1" customWidth="1"/>
    <col min="7393" max="7394" width="9.19921875" style="3"/>
    <col min="7395" max="7395" width="10" style="3" bestFit="1" customWidth="1"/>
    <col min="7396" max="7412" width="9.19921875" style="3"/>
    <col min="7413" max="7413" width="10" style="3" bestFit="1" customWidth="1"/>
    <col min="7414" max="7415" width="9.19921875" style="3"/>
    <col min="7416" max="7416" width="10" style="3" bestFit="1" customWidth="1"/>
    <col min="7417" max="7421" width="9.19921875" style="3"/>
    <col min="7422" max="7422" width="10" style="3" bestFit="1" customWidth="1"/>
    <col min="7423" max="7643" width="9.19921875" style="3"/>
    <col min="7644" max="7644" width="6.46484375" style="3" customWidth="1"/>
    <col min="7645" max="7645" width="37.53125" style="3" customWidth="1"/>
    <col min="7646" max="7646" width="9.19921875" style="3"/>
    <col min="7647" max="7647" width="8.796875" style="3" bestFit="1" customWidth="1"/>
    <col min="7648" max="7648" width="10" style="3" bestFit="1" customWidth="1"/>
    <col min="7649" max="7650" width="9.19921875" style="3"/>
    <col min="7651" max="7651" width="10" style="3" bestFit="1" customWidth="1"/>
    <col min="7652" max="7668" width="9.19921875" style="3"/>
    <col min="7669" max="7669" width="10" style="3" bestFit="1" customWidth="1"/>
    <col min="7670" max="7671" width="9.19921875" style="3"/>
    <col min="7672" max="7672" width="10" style="3" bestFit="1" customWidth="1"/>
    <col min="7673" max="7677" width="9.19921875" style="3"/>
    <col min="7678" max="7678" width="10" style="3" bestFit="1" customWidth="1"/>
    <col min="7679" max="7899" width="9.19921875" style="3"/>
    <col min="7900" max="7900" width="6.46484375" style="3" customWidth="1"/>
    <col min="7901" max="7901" width="37.53125" style="3" customWidth="1"/>
    <col min="7902" max="7902" width="9.19921875" style="3"/>
    <col min="7903" max="7903" width="8.796875" style="3" bestFit="1" customWidth="1"/>
    <col min="7904" max="7904" width="10" style="3" bestFit="1" customWidth="1"/>
    <col min="7905" max="7906" width="9.19921875" style="3"/>
    <col min="7907" max="7907" width="10" style="3" bestFit="1" customWidth="1"/>
    <col min="7908" max="7924" width="9.19921875" style="3"/>
    <col min="7925" max="7925" width="10" style="3" bestFit="1" customWidth="1"/>
    <col min="7926" max="7927" width="9.19921875" style="3"/>
    <col min="7928" max="7928" width="10" style="3" bestFit="1" customWidth="1"/>
    <col min="7929" max="7933" width="9.19921875" style="3"/>
    <col min="7934" max="7934" width="10" style="3" bestFit="1" customWidth="1"/>
    <col min="7935" max="8155" width="9.19921875" style="3"/>
    <col min="8156" max="8156" width="6.46484375" style="3" customWidth="1"/>
    <col min="8157" max="8157" width="37.53125" style="3" customWidth="1"/>
    <col min="8158" max="8158" width="9.19921875" style="3"/>
    <col min="8159" max="8159" width="8.796875" style="3" bestFit="1" customWidth="1"/>
    <col min="8160" max="8160" width="10" style="3" bestFit="1" customWidth="1"/>
    <col min="8161" max="8162" width="9.19921875" style="3"/>
    <col min="8163" max="8163" width="10" style="3" bestFit="1" customWidth="1"/>
    <col min="8164" max="8180" width="9.19921875" style="3"/>
    <col min="8181" max="8181" width="10" style="3" bestFit="1" customWidth="1"/>
    <col min="8182" max="8183" width="9.19921875" style="3"/>
    <col min="8184" max="8184" width="10" style="3" bestFit="1" customWidth="1"/>
    <col min="8185" max="8189" width="9.19921875" style="3"/>
    <col min="8190" max="8190" width="10" style="3" bestFit="1" customWidth="1"/>
    <col min="8191" max="8411" width="9.19921875" style="3"/>
    <col min="8412" max="8412" width="6.46484375" style="3" customWidth="1"/>
    <col min="8413" max="8413" width="37.53125" style="3" customWidth="1"/>
    <col min="8414" max="8414" width="9.19921875" style="3"/>
    <col min="8415" max="8415" width="8.796875" style="3" bestFit="1" customWidth="1"/>
    <col min="8416" max="8416" width="10" style="3" bestFit="1" customWidth="1"/>
    <col min="8417" max="8418" width="9.19921875" style="3"/>
    <col min="8419" max="8419" width="10" style="3" bestFit="1" customWidth="1"/>
    <col min="8420" max="8436" width="9.19921875" style="3"/>
    <col min="8437" max="8437" width="10" style="3" bestFit="1" customWidth="1"/>
    <col min="8438" max="8439" width="9.19921875" style="3"/>
    <col min="8440" max="8440" width="10" style="3" bestFit="1" customWidth="1"/>
    <col min="8441" max="8445" width="9.19921875" style="3"/>
    <col min="8446" max="8446" width="10" style="3" bestFit="1" customWidth="1"/>
    <col min="8447" max="8667" width="9.19921875" style="3"/>
    <col min="8668" max="8668" width="6.46484375" style="3" customWidth="1"/>
    <col min="8669" max="8669" width="37.53125" style="3" customWidth="1"/>
    <col min="8670" max="8670" width="9.19921875" style="3"/>
    <col min="8671" max="8671" width="8.796875" style="3" bestFit="1" customWidth="1"/>
    <col min="8672" max="8672" width="10" style="3" bestFit="1" customWidth="1"/>
    <col min="8673" max="8674" width="9.19921875" style="3"/>
    <col min="8675" max="8675" width="10" style="3" bestFit="1" customWidth="1"/>
    <col min="8676" max="8692" width="9.19921875" style="3"/>
    <col min="8693" max="8693" width="10" style="3" bestFit="1" customWidth="1"/>
    <col min="8694" max="8695" width="9.19921875" style="3"/>
    <col min="8696" max="8696" width="10" style="3" bestFit="1" customWidth="1"/>
    <col min="8697" max="8701" width="9.19921875" style="3"/>
    <col min="8702" max="8702" width="10" style="3" bestFit="1" customWidth="1"/>
    <col min="8703" max="8923" width="9.19921875" style="3"/>
    <col min="8924" max="8924" width="6.46484375" style="3" customWidth="1"/>
    <col min="8925" max="8925" width="37.53125" style="3" customWidth="1"/>
    <col min="8926" max="8926" width="9.19921875" style="3"/>
    <col min="8927" max="8927" width="8.796875" style="3" bestFit="1" customWidth="1"/>
    <col min="8928" max="8928" width="10" style="3" bestFit="1" customWidth="1"/>
    <col min="8929" max="8930" width="9.19921875" style="3"/>
    <col min="8931" max="8931" width="10" style="3" bestFit="1" customWidth="1"/>
    <col min="8932" max="8948" width="9.19921875" style="3"/>
    <col min="8949" max="8949" width="10" style="3" bestFit="1" customWidth="1"/>
    <col min="8950" max="8951" width="9.19921875" style="3"/>
    <col min="8952" max="8952" width="10" style="3" bestFit="1" customWidth="1"/>
    <col min="8953" max="8957" width="9.19921875" style="3"/>
    <col min="8958" max="8958" width="10" style="3" bestFit="1" customWidth="1"/>
    <col min="8959" max="9179" width="9.19921875" style="3"/>
    <col min="9180" max="9180" width="6.46484375" style="3" customWidth="1"/>
    <col min="9181" max="9181" width="37.53125" style="3" customWidth="1"/>
    <col min="9182" max="9182" width="9.19921875" style="3"/>
    <col min="9183" max="9183" width="8.796875" style="3" bestFit="1" customWidth="1"/>
    <col min="9184" max="9184" width="10" style="3" bestFit="1" customWidth="1"/>
    <col min="9185" max="9186" width="9.19921875" style="3"/>
    <col min="9187" max="9187" width="10" style="3" bestFit="1" customWidth="1"/>
    <col min="9188" max="9204" width="9.19921875" style="3"/>
    <col min="9205" max="9205" width="10" style="3" bestFit="1" customWidth="1"/>
    <col min="9206" max="9207" width="9.19921875" style="3"/>
    <col min="9208" max="9208" width="10" style="3" bestFit="1" customWidth="1"/>
    <col min="9209" max="9213" width="9.19921875" style="3"/>
    <col min="9214" max="9214" width="10" style="3" bestFit="1" customWidth="1"/>
    <col min="9215" max="9435" width="9.19921875" style="3"/>
    <col min="9436" max="9436" width="6.46484375" style="3" customWidth="1"/>
    <col min="9437" max="9437" width="37.53125" style="3" customWidth="1"/>
    <col min="9438" max="9438" width="9.19921875" style="3"/>
    <col min="9439" max="9439" width="8.796875" style="3" bestFit="1" customWidth="1"/>
    <col min="9440" max="9440" width="10" style="3" bestFit="1" customWidth="1"/>
    <col min="9441" max="9442" width="9.19921875" style="3"/>
    <col min="9443" max="9443" width="10" style="3" bestFit="1" customWidth="1"/>
    <col min="9444" max="9460" width="9.19921875" style="3"/>
    <col min="9461" max="9461" width="10" style="3" bestFit="1" customWidth="1"/>
    <col min="9462" max="9463" width="9.19921875" style="3"/>
    <col min="9464" max="9464" width="10" style="3" bestFit="1" customWidth="1"/>
    <col min="9465" max="9469" width="9.19921875" style="3"/>
    <col min="9470" max="9470" width="10" style="3" bestFit="1" customWidth="1"/>
    <col min="9471" max="9691" width="9.19921875" style="3"/>
    <col min="9692" max="9692" width="6.46484375" style="3" customWidth="1"/>
    <col min="9693" max="9693" width="37.53125" style="3" customWidth="1"/>
    <col min="9694" max="9694" width="9.19921875" style="3"/>
    <col min="9695" max="9695" width="8.796875" style="3" bestFit="1" customWidth="1"/>
    <col min="9696" max="9696" width="10" style="3" bestFit="1" customWidth="1"/>
    <col min="9697" max="9698" width="9.19921875" style="3"/>
    <col min="9699" max="9699" width="10" style="3" bestFit="1" customWidth="1"/>
    <col min="9700" max="9716" width="9.19921875" style="3"/>
    <col min="9717" max="9717" width="10" style="3" bestFit="1" customWidth="1"/>
    <col min="9718" max="9719" width="9.19921875" style="3"/>
    <col min="9720" max="9720" width="10" style="3" bestFit="1" customWidth="1"/>
    <col min="9721" max="9725" width="9.19921875" style="3"/>
    <col min="9726" max="9726" width="10" style="3" bestFit="1" customWidth="1"/>
    <col min="9727" max="9947" width="9.19921875" style="3"/>
    <col min="9948" max="9948" width="6.46484375" style="3" customWidth="1"/>
    <col min="9949" max="9949" width="37.53125" style="3" customWidth="1"/>
    <col min="9950" max="9950" width="9.19921875" style="3"/>
    <col min="9951" max="9951" width="8.796875" style="3" bestFit="1" customWidth="1"/>
    <col min="9952" max="9952" width="10" style="3" bestFit="1" customWidth="1"/>
    <col min="9953" max="9954" width="9.19921875" style="3"/>
    <col min="9955" max="9955" width="10" style="3" bestFit="1" customWidth="1"/>
    <col min="9956" max="9972" width="9.19921875" style="3"/>
    <col min="9973" max="9973" width="10" style="3" bestFit="1" customWidth="1"/>
    <col min="9974" max="9975" width="9.19921875" style="3"/>
    <col min="9976" max="9976" width="10" style="3" bestFit="1" customWidth="1"/>
    <col min="9977" max="9981" width="9.19921875" style="3"/>
    <col min="9982" max="9982" width="10" style="3" bestFit="1" customWidth="1"/>
    <col min="9983" max="10203" width="9.19921875" style="3"/>
    <col min="10204" max="10204" width="6.46484375" style="3" customWidth="1"/>
    <col min="10205" max="10205" width="37.53125" style="3" customWidth="1"/>
    <col min="10206" max="10206" width="9.19921875" style="3"/>
    <col min="10207" max="10207" width="8.796875" style="3" bestFit="1" customWidth="1"/>
    <col min="10208" max="10208" width="10" style="3" bestFit="1" customWidth="1"/>
    <col min="10209" max="10210" width="9.19921875" style="3"/>
    <col min="10211" max="10211" width="10" style="3" bestFit="1" customWidth="1"/>
    <col min="10212" max="10228" width="9.19921875" style="3"/>
    <col min="10229" max="10229" width="10" style="3" bestFit="1" customWidth="1"/>
    <col min="10230" max="10231" width="9.19921875" style="3"/>
    <col min="10232" max="10232" width="10" style="3" bestFit="1" customWidth="1"/>
    <col min="10233" max="10237" width="9.19921875" style="3"/>
    <col min="10238" max="10238" width="10" style="3" bestFit="1" customWidth="1"/>
    <col min="10239" max="10459" width="9.19921875" style="3"/>
    <col min="10460" max="10460" width="6.46484375" style="3" customWidth="1"/>
    <col min="10461" max="10461" width="37.53125" style="3" customWidth="1"/>
    <col min="10462" max="10462" width="9.19921875" style="3"/>
    <col min="10463" max="10463" width="8.796875" style="3" bestFit="1" customWidth="1"/>
    <col min="10464" max="10464" width="10" style="3" bestFit="1" customWidth="1"/>
    <col min="10465" max="10466" width="9.19921875" style="3"/>
    <col min="10467" max="10467" width="10" style="3" bestFit="1" customWidth="1"/>
    <col min="10468" max="10484" width="9.19921875" style="3"/>
    <col min="10485" max="10485" width="10" style="3" bestFit="1" customWidth="1"/>
    <col min="10486" max="10487" width="9.19921875" style="3"/>
    <col min="10488" max="10488" width="10" style="3" bestFit="1" customWidth="1"/>
    <col min="10489" max="10493" width="9.19921875" style="3"/>
    <col min="10494" max="10494" width="10" style="3" bestFit="1" customWidth="1"/>
    <col min="10495" max="10715" width="9.19921875" style="3"/>
    <col min="10716" max="10716" width="6.46484375" style="3" customWidth="1"/>
    <col min="10717" max="10717" width="37.53125" style="3" customWidth="1"/>
    <col min="10718" max="10718" width="9.19921875" style="3"/>
    <col min="10719" max="10719" width="8.796875" style="3" bestFit="1" customWidth="1"/>
    <col min="10720" max="10720" width="10" style="3" bestFit="1" customWidth="1"/>
    <col min="10721" max="10722" width="9.19921875" style="3"/>
    <col min="10723" max="10723" width="10" style="3" bestFit="1" customWidth="1"/>
    <col min="10724" max="10740" width="9.19921875" style="3"/>
    <col min="10741" max="10741" width="10" style="3" bestFit="1" customWidth="1"/>
    <col min="10742" max="10743" width="9.19921875" style="3"/>
    <col min="10744" max="10744" width="10" style="3" bestFit="1" customWidth="1"/>
    <col min="10745" max="10749" width="9.19921875" style="3"/>
    <col min="10750" max="10750" width="10" style="3" bestFit="1" customWidth="1"/>
    <col min="10751" max="10971" width="9.19921875" style="3"/>
    <col min="10972" max="10972" width="6.46484375" style="3" customWidth="1"/>
    <col min="10973" max="10973" width="37.53125" style="3" customWidth="1"/>
    <col min="10974" max="10974" width="9.19921875" style="3"/>
    <col min="10975" max="10975" width="8.796875" style="3" bestFit="1" customWidth="1"/>
    <col min="10976" max="10976" width="10" style="3" bestFit="1" customWidth="1"/>
    <col min="10977" max="10978" width="9.19921875" style="3"/>
    <col min="10979" max="10979" width="10" style="3" bestFit="1" customWidth="1"/>
    <col min="10980" max="10996" width="9.19921875" style="3"/>
    <col min="10997" max="10997" width="10" style="3" bestFit="1" customWidth="1"/>
    <col min="10998" max="10999" width="9.19921875" style="3"/>
    <col min="11000" max="11000" width="10" style="3" bestFit="1" customWidth="1"/>
    <col min="11001" max="11005" width="9.19921875" style="3"/>
    <col min="11006" max="11006" width="10" style="3" bestFit="1" customWidth="1"/>
    <col min="11007" max="11227" width="9.19921875" style="3"/>
    <col min="11228" max="11228" width="6.46484375" style="3" customWidth="1"/>
    <col min="11229" max="11229" width="37.53125" style="3" customWidth="1"/>
    <col min="11230" max="11230" width="9.19921875" style="3"/>
    <col min="11231" max="11231" width="8.796875" style="3" bestFit="1" customWidth="1"/>
    <col min="11232" max="11232" width="10" style="3" bestFit="1" customWidth="1"/>
    <col min="11233" max="11234" width="9.19921875" style="3"/>
    <col min="11235" max="11235" width="10" style="3" bestFit="1" customWidth="1"/>
    <col min="11236" max="11252" width="9.19921875" style="3"/>
    <col min="11253" max="11253" width="10" style="3" bestFit="1" customWidth="1"/>
    <col min="11254" max="11255" width="9.19921875" style="3"/>
    <col min="11256" max="11256" width="10" style="3" bestFit="1" customWidth="1"/>
    <col min="11257" max="11261" width="9.19921875" style="3"/>
    <col min="11262" max="11262" width="10" style="3" bestFit="1" customWidth="1"/>
    <col min="11263" max="11483" width="9.19921875" style="3"/>
    <col min="11484" max="11484" width="6.46484375" style="3" customWidth="1"/>
    <col min="11485" max="11485" width="37.53125" style="3" customWidth="1"/>
    <col min="11486" max="11486" width="9.19921875" style="3"/>
    <col min="11487" max="11487" width="8.796875" style="3" bestFit="1" customWidth="1"/>
    <col min="11488" max="11488" width="10" style="3" bestFit="1" customWidth="1"/>
    <col min="11489" max="11490" width="9.19921875" style="3"/>
    <col min="11491" max="11491" width="10" style="3" bestFit="1" customWidth="1"/>
    <col min="11492" max="11508" width="9.19921875" style="3"/>
    <col min="11509" max="11509" width="10" style="3" bestFit="1" customWidth="1"/>
    <col min="11510" max="11511" width="9.19921875" style="3"/>
    <col min="11512" max="11512" width="10" style="3" bestFit="1" customWidth="1"/>
    <col min="11513" max="11517" width="9.19921875" style="3"/>
    <col min="11518" max="11518" width="10" style="3" bestFit="1" customWidth="1"/>
    <col min="11519" max="11739" width="9.19921875" style="3"/>
    <col min="11740" max="11740" width="6.46484375" style="3" customWidth="1"/>
    <col min="11741" max="11741" width="37.53125" style="3" customWidth="1"/>
    <col min="11742" max="11742" width="9.19921875" style="3"/>
    <col min="11743" max="11743" width="8.796875" style="3" bestFit="1" customWidth="1"/>
    <col min="11744" max="11744" width="10" style="3" bestFit="1" customWidth="1"/>
    <col min="11745" max="11746" width="9.19921875" style="3"/>
    <col min="11747" max="11747" width="10" style="3" bestFit="1" customWidth="1"/>
    <col min="11748" max="11764" width="9.19921875" style="3"/>
    <col min="11765" max="11765" width="10" style="3" bestFit="1" customWidth="1"/>
    <col min="11766" max="11767" width="9.19921875" style="3"/>
    <col min="11768" max="11768" width="10" style="3" bestFit="1" customWidth="1"/>
    <col min="11769" max="11773" width="9.19921875" style="3"/>
    <col min="11774" max="11774" width="10" style="3" bestFit="1" customWidth="1"/>
    <col min="11775" max="11995" width="9.19921875" style="3"/>
    <col min="11996" max="11996" width="6.46484375" style="3" customWidth="1"/>
    <col min="11997" max="11997" width="37.53125" style="3" customWidth="1"/>
    <col min="11998" max="11998" width="9.19921875" style="3"/>
    <col min="11999" max="11999" width="8.796875" style="3" bestFit="1" customWidth="1"/>
    <col min="12000" max="12000" width="10" style="3" bestFit="1" customWidth="1"/>
    <col min="12001" max="12002" width="9.19921875" style="3"/>
    <col min="12003" max="12003" width="10" style="3" bestFit="1" customWidth="1"/>
    <col min="12004" max="12020" width="9.19921875" style="3"/>
    <col min="12021" max="12021" width="10" style="3" bestFit="1" customWidth="1"/>
    <col min="12022" max="12023" width="9.19921875" style="3"/>
    <col min="12024" max="12024" width="10" style="3" bestFit="1" customWidth="1"/>
    <col min="12025" max="12029" width="9.19921875" style="3"/>
    <col min="12030" max="12030" width="10" style="3" bestFit="1" customWidth="1"/>
    <col min="12031" max="12251" width="9.19921875" style="3"/>
    <col min="12252" max="12252" width="6.46484375" style="3" customWidth="1"/>
    <col min="12253" max="12253" width="37.53125" style="3" customWidth="1"/>
    <col min="12254" max="12254" width="9.19921875" style="3"/>
    <col min="12255" max="12255" width="8.796875" style="3" bestFit="1" customWidth="1"/>
    <col min="12256" max="12256" width="10" style="3" bestFit="1" customWidth="1"/>
    <col min="12257" max="12258" width="9.19921875" style="3"/>
    <col min="12259" max="12259" width="10" style="3" bestFit="1" customWidth="1"/>
    <col min="12260" max="12276" width="9.19921875" style="3"/>
    <col min="12277" max="12277" width="10" style="3" bestFit="1" customWidth="1"/>
    <col min="12278" max="12279" width="9.19921875" style="3"/>
    <col min="12280" max="12280" width="10" style="3" bestFit="1" customWidth="1"/>
    <col min="12281" max="12285" width="9.19921875" style="3"/>
    <col min="12286" max="12286" width="10" style="3" bestFit="1" customWidth="1"/>
    <col min="12287" max="12507" width="9.19921875" style="3"/>
    <col min="12508" max="12508" width="6.46484375" style="3" customWidth="1"/>
    <col min="12509" max="12509" width="37.53125" style="3" customWidth="1"/>
    <col min="12510" max="12510" width="9.19921875" style="3"/>
    <col min="12511" max="12511" width="8.796875" style="3" bestFit="1" customWidth="1"/>
    <col min="12512" max="12512" width="10" style="3" bestFit="1" customWidth="1"/>
    <col min="12513" max="12514" width="9.19921875" style="3"/>
    <col min="12515" max="12515" width="10" style="3" bestFit="1" customWidth="1"/>
    <col min="12516" max="12532" width="9.19921875" style="3"/>
    <col min="12533" max="12533" width="10" style="3" bestFit="1" customWidth="1"/>
    <col min="12534" max="12535" width="9.19921875" style="3"/>
    <col min="12536" max="12536" width="10" style="3" bestFit="1" customWidth="1"/>
    <col min="12537" max="12541" width="9.19921875" style="3"/>
    <col min="12542" max="12542" width="10" style="3" bestFit="1" customWidth="1"/>
    <col min="12543" max="12763" width="9.19921875" style="3"/>
    <col min="12764" max="12764" width="6.46484375" style="3" customWidth="1"/>
    <col min="12765" max="12765" width="37.53125" style="3" customWidth="1"/>
    <col min="12766" max="12766" width="9.19921875" style="3"/>
    <col min="12767" max="12767" width="8.796875" style="3" bestFit="1" customWidth="1"/>
    <col min="12768" max="12768" width="10" style="3" bestFit="1" customWidth="1"/>
    <col min="12769" max="12770" width="9.19921875" style="3"/>
    <col min="12771" max="12771" width="10" style="3" bestFit="1" customWidth="1"/>
    <col min="12772" max="12788" width="9.19921875" style="3"/>
    <col min="12789" max="12789" width="10" style="3" bestFit="1" customWidth="1"/>
    <col min="12790" max="12791" width="9.19921875" style="3"/>
    <col min="12792" max="12792" width="10" style="3" bestFit="1" customWidth="1"/>
    <col min="12793" max="12797" width="9.19921875" style="3"/>
    <col min="12798" max="12798" width="10" style="3" bestFit="1" customWidth="1"/>
    <col min="12799" max="13019" width="9.19921875" style="3"/>
    <col min="13020" max="13020" width="6.46484375" style="3" customWidth="1"/>
    <col min="13021" max="13021" width="37.53125" style="3" customWidth="1"/>
    <col min="13022" max="13022" width="9.19921875" style="3"/>
    <col min="13023" max="13023" width="8.796875" style="3" bestFit="1" customWidth="1"/>
    <col min="13024" max="13024" width="10" style="3" bestFit="1" customWidth="1"/>
    <col min="13025" max="13026" width="9.19921875" style="3"/>
    <col min="13027" max="13027" width="10" style="3" bestFit="1" customWidth="1"/>
    <col min="13028" max="13044" width="9.19921875" style="3"/>
    <col min="13045" max="13045" width="10" style="3" bestFit="1" customWidth="1"/>
    <col min="13046" max="13047" width="9.19921875" style="3"/>
    <col min="13048" max="13048" width="10" style="3" bestFit="1" customWidth="1"/>
    <col min="13049" max="13053" width="9.19921875" style="3"/>
    <col min="13054" max="13054" width="10" style="3" bestFit="1" customWidth="1"/>
    <col min="13055" max="13275" width="9.19921875" style="3"/>
    <col min="13276" max="13276" width="6.46484375" style="3" customWidth="1"/>
    <col min="13277" max="13277" width="37.53125" style="3" customWidth="1"/>
    <col min="13278" max="13278" width="9.19921875" style="3"/>
    <col min="13279" max="13279" width="8.796875" style="3" bestFit="1" customWidth="1"/>
    <col min="13280" max="13280" width="10" style="3" bestFit="1" customWidth="1"/>
    <col min="13281" max="13282" width="9.19921875" style="3"/>
    <col min="13283" max="13283" width="10" style="3" bestFit="1" customWidth="1"/>
    <col min="13284" max="13300" width="9.19921875" style="3"/>
    <col min="13301" max="13301" width="10" style="3" bestFit="1" customWidth="1"/>
    <col min="13302" max="13303" width="9.19921875" style="3"/>
    <col min="13304" max="13304" width="10" style="3" bestFit="1" customWidth="1"/>
    <col min="13305" max="13309" width="9.19921875" style="3"/>
    <col min="13310" max="13310" width="10" style="3" bestFit="1" customWidth="1"/>
    <col min="13311" max="13531" width="9.19921875" style="3"/>
    <col min="13532" max="13532" width="6.46484375" style="3" customWidth="1"/>
    <col min="13533" max="13533" width="37.53125" style="3" customWidth="1"/>
    <col min="13534" max="13534" width="9.19921875" style="3"/>
    <col min="13535" max="13535" width="8.796875" style="3" bestFit="1" customWidth="1"/>
    <col min="13536" max="13536" width="10" style="3" bestFit="1" customWidth="1"/>
    <col min="13537" max="13538" width="9.19921875" style="3"/>
    <col min="13539" max="13539" width="10" style="3" bestFit="1" customWidth="1"/>
    <col min="13540" max="13556" width="9.19921875" style="3"/>
    <col min="13557" max="13557" width="10" style="3" bestFit="1" customWidth="1"/>
    <col min="13558" max="13559" width="9.19921875" style="3"/>
    <col min="13560" max="13560" width="10" style="3" bestFit="1" customWidth="1"/>
    <col min="13561" max="13565" width="9.19921875" style="3"/>
    <col min="13566" max="13566" width="10" style="3" bestFit="1" customWidth="1"/>
    <col min="13567" max="13787" width="9.19921875" style="3"/>
    <col min="13788" max="13788" width="6.46484375" style="3" customWidth="1"/>
    <col min="13789" max="13789" width="37.53125" style="3" customWidth="1"/>
    <col min="13790" max="13790" width="9.19921875" style="3"/>
    <col min="13791" max="13791" width="8.796875" style="3" bestFit="1" customWidth="1"/>
    <col min="13792" max="13792" width="10" style="3" bestFit="1" customWidth="1"/>
    <col min="13793" max="13794" width="9.19921875" style="3"/>
    <col min="13795" max="13795" width="10" style="3" bestFit="1" customWidth="1"/>
    <col min="13796" max="13812" width="9.19921875" style="3"/>
    <col min="13813" max="13813" width="10" style="3" bestFit="1" customWidth="1"/>
    <col min="13814" max="13815" width="9.19921875" style="3"/>
    <col min="13816" max="13816" width="10" style="3" bestFit="1" customWidth="1"/>
    <col min="13817" max="13821" width="9.19921875" style="3"/>
    <col min="13822" max="13822" width="10" style="3" bestFit="1" customWidth="1"/>
    <col min="13823" max="14043" width="9.19921875" style="3"/>
    <col min="14044" max="14044" width="6.46484375" style="3" customWidth="1"/>
    <col min="14045" max="14045" width="37.53125" style="3" customWidth="1"/>
    <col min="14046" max="14046" width="9.19921875" style="3"/>
    <col min="14047" max="14047" width="8.796875" style="3" bestFit="1" customWidth="1"/>
    <col min="14048" max="14048" width="10" style="3" bestFit="1" customWidth="1"/>
    <col min="14049" max="14050" width="9.19921875" style="3"/>
    <col min="14051" max="14051" width="10" style="3" bestFit="1" customWidth="1"/>
    <col min="14052" max="14068" width="9.19921875" style="3"/>
    <col min="14069" max="14069" width="10" style="3" bestFit="1" customWidth="1"/>
    <col min="14070" max="14071" width="9.19921875" style="3"/>
    <col min="14072" max="14072" width="10" style="3" bestFit="1" customWidth="1"/>
    <col min="14073" max="14077" width="9.19921875" style="3"/>
    <col min="14078" max="14078" width="10" style="3" bestFit="1" customWidth="1"/>
    <col min="14079" max="14299" width="9.19921875" style="3"/>
    <col min="14300" max="14300" width="6.46484375" style="3" customWidth="1"/>
    <col min="14301" max="14301" width="37.53125" style="3" customWidth="1"/>
    <col min="14302" max="14302" width="9.19921875" style="3"/>
    <col min="14303" max="14303" width="8.796875" style="3" bestFit="1" customWidth="1"/>
    <col min="14304" max="14304" width="10" style="3" bestFit="1" customWidth="1"/>
    <col min="14305" max="14306" width="9.19921875" style="3"/>
    <col min="14307" max="14307" width="10" style="3" bestFit="1" customWidth="1"/>
    <col min="14308" max="14324" width="9.19921875" style="3"/>
    <col min="14325" max="14325" width="10" style="3" bestFit="1" customWidth="1"/>
    <col min="14326" max="14327" width="9.19921875" style="3"/>
    <col min="14328" max="14328" width="10" style="3" bestFit="1" customWidth="1"/>
    <col min="14329" max="14333" width="9.19921875" style="3"/>
    <col min="14334" max="14334" width="10" style="3" bestFit="1" customWidth="1"/>
    <col min="14335" max="14555" width="9.19921875" style="3"/>
    <col min="14556" max="14556" width="6.46484375" style="3" customWidth="1"/>
    <col min="14557" max="14557" width="37.53125" style="3" customWidth="1"/>
    <col min="14558" max="14558" width="9.19921875" style="3"/>
    <col min="14559" max="14559" width="8.796875" style="3" bestFit="1" customWidth="1"/>
    <col min="14560" max="14560" width="10" style="3" bestFit="1" customWidth="1"/>
    <col min="14561" max="14562" width="9.19921875" style="3"/>
    <col min="14563" max="14563" width="10" style="3" bestFit="1" customWidth="1"/>
    <col min="14564" max="14580" width="9.19921875" style="3"/>
    <col min="14581" max="14581" width="10" style="3" bestFit="1" customWidth="1"/>
    <col min="14582" max="14583" width="9.19921875" style="3"/>
    <col min="14584" max="14584" width="10" style="3" bestFit="1" customWidth="1"/>
    <col min="14585" max="14589" width="9.19921875" style="3"/>
    <col min="14590" max="14590" width="10" style="3" bestFit="1" customWidth="1"/>
    <col min="14591" max="14811" width="9.19921875" style="3"/>
    <col min="14812" max="14812" width="6.46484375" style="3" customWidth="1"/>
    <col min="14813" max="14813" width="37.53125" style="3" customWidth="1"/>
    <col min="14814" max="14814" width="9.19921875" style="3"/>
    <col min="14815" max="14815" width="8.796875" style="3" bestFit="1" customWidth="1"/>
    <col min="14816" max="14816" width="10" style="3" bestFit="1" customWidth="1"/>
    <col min="14817" max="14818" width="9.19921875" style="3"/>
    <col min="14819" max="14819" width="10" style="3" bestFit="1" customWidth="1"/>
    <col min="14820" max="14836" width="9.19921875" style="3"/>
    <col min="14837" max="14837" width="10" style="3" bestFit="1" customWidth="1"/>
    <col min="14838" max="14839" width="9.19921875" style="3"/>
    <col min="14840" max="14840" width="10" style="3" bestFit="1" customWidth="1"/>
    <col min="14841" max="14845" width="9.19921875" style="3"/>
    <col min="14846" max="14846" width="10" style="3" bestFit="1" customWidth="1"/>
    <col min="14847" max="15067" width="9.19921875" style="3"/>
    <col min="15068" max="15068" width="6.46484375" style="3" customWidth="1"/>
    <col min="15069" max="15069" width="37.53125" style="3" customWidth="1"/>
    <col min="15070" max="15070" width="9.19921875" style="3"/>
    <col min="15071" max="15071" width="8.796875" style="3" bestFit="1" customWidth="1"/>
    <col min="15072" max="15072" width="10" style="3" bestFit="1" customWidth="1"/>
    <col min="15073" max="15074" width="9.19921875" style="3"/>
    <col min="15075" max="15075" width="10" style="3" bestFit="1" customWidth="1"/>
    <col min="15076" max="15092" width="9.19921875" style="3"/>
    <col min="15093" max="15093" width="10" style="3" bestFit="1" customWidth="1"/>
    <col min="15094" max="15095" width="9.19921875" style="3"/>
    <col min="15096" max="15096" width="10" style="3" bestFit="1" customWidth="1"/>
    <col min="15097" max="15101" width="9.19921875" style="3"/>
    <col min="15102" max="15102" width="10" style="3" bestFit="1" customWidth="1"/>
    <col min="15103" max="15323" width="9.19921875" style="3"/>
    <col min="15324" max="15324" width="6.46484375" style="3" customWidth="1"/>
    <col min="15325" max="15325" width="37.53125" style="3" customWidth="1"/>
    <col min="15326" max="15326" width="9.19921875" style="3"/>
    <col min="15327" max="15327" width="8.796875" style="3" bestFit="1" customWidth="1"/>
    <col min="15328" max="15328" width="10" style="3" bestFit="1" customWidth="1"/>
    <col min="15329" max="15330" width="9.19921875" style="3"/>
    <col min="15331" max="15331" width="10" style="3" bestFit="1" customWidth="1"/>
    <col min="15332" max="15348" width="9.19921875" style="3"/>
    <col min="15349" max="15349" width="10" style="3" bestFit="1" customWidth="1"/>
    <col min="15350" max="15351" width="9.19921875" style="3"/>
    <col min="15352" max="15352" width="10" style="3" bestFit="1" customWidth="1"/>
    <col min="15353" max="15357" width="9.19921875" style="3"/>
    <col min="15358" max="15358" width="10" style="3" bestFit="1" customWidth="1"/>
    <col min="15359" max="15579" width="9.19921875" style="3"/>
    <col min="15580" max="15580" width="6.46484375" style="3" customWidth="1"/>
    <col min="15581" max="15581" width="37.53125" style="3" customWidth="1"/>
    <col min="15582" max="15582" width="9.19921875" style="3"/>
    <col min="15583" max="15583" width="8.796875" style="3" bestFit="1" customWidth="1"/>
    <col min="15584" max="15584" width="10" style="3" bestFit="1" customWidth="1"/>
    <col min="15585" max="15586" width="9.19921875" style="3"/>
    <col min="15587" max="15587" width="10" style="3" bestFit="1" customWidth="1"/>
    <col min="15588" max="15604" width="9.19921875" style="3"/>
    <col min="15605" max="15605" width="10" style="3" bestFit="1" customWidth="1"/>
    <col min="15606" max="15607" width="9.19921875" style="3"/>
    <col min="15608" max="15608" width="10" style="3" bestFit="1" customWidth="1"/>
    <col min="15609" max="15613" width="9.19921875" style="3"/>
    <col min="15614" max="15614" width="10" style="3" bestFit="1" customWidth="1"/>
    <col min="15615" max="15835" width="9.19921875" style="3"/>
    <col min="15836" max="15836" width="6.46484375" style="3" customWidth="1"/>
    <col min="15837" max="15837" width="37.53125" style="3" customWidth="1"/>
    <col min="15838" max="15838" width="9.19921875" style="3"/>
    <col min="15839" max="15839" width="8.796875" style="3" bestFit="1" customWidth="1"/>
    <col min="15840" max="15840" width="10" style="3" bestFit="1" customWidth="1"/>
    <col min="15841" max="15842" width="9.19921875" style="3"/>
    <col min="15843" max="15843" width="10" style="3" bestFit="1" customWidth="1"/>
    <col min="15844" max="15860" width="9.19921875" style="3"/>
    <col min="15861" max="15861" width="10" style="3" bestFit="1" customWidth="1"/>
    <col min="15862" max="15863" width="9.19921875" style="3"/>
    <col min="15864" max="15864" width="10" style="3" bestFit="1" customWidth="1"/>
    <col min="15865" max="15869" width="9.19921875" style="3"/>
    <col min="15870" max="15870" width="10" style="3" bestFit="1" customWidth="1"/>
    <col min="15871" max="16091" width="9.19921875" style="3"/>
    <col min="16092" max="16092" width="6.46484375" style="3" customWidth="1"/>
    <col min="16093" max="16093" width="37.53125" style="3" customWidth="1"/>
    <col min="16094" max="16094" width="9.19921875" style="3"/>
    <col min="16095" max="16095" width="8.796875" style="3" bestFit="1" customWidth="1"/>
    <col min="16096" max="16096" width="10" style="3" bestFit="1" customWidth="1"/>
    <col min="16097" max="16098" width="9.19921875" style="3"/>
    <col min="16099" max="16099" width="10" style="3" bestFit="1" customWidth="1"/>
    <col min="16100" max="16116" width="9.19921875" style="3"/>
    <col min="16117" max="16117" width="10" style="3" bestFit="1" customWidth="1"/>
    <col min="16118" max="16119" width="9.19921875" style="3"/>
    <col min="16120" max="16120" width="10" style="3" bestFit="1" customWidth="1"/>
    <col min="16121" max="16125" width="9.19921875" style="3"/>
    <col min="16126" max="16126" width="10" style="3" bestFit="1" customWidth="1"/>
    <col min="16127" max="16375" width="9.19921875" style="3"/>
    <col min="16376" max="16384" width="9.19921875" style="3" customWidth="1"/>
  </cols>
  <sheetData>
    <row r="1" spans="1:15">
      <c r="A1" s="93" t="s">
        <v>1849</v>
      </c>
      <c r="D1" s="645"/>
    </row>
    <row r="2" spans="1:15">
      <c r="A2" s="2164" t="str">
        <f>+'BS1'!A2</f>
        <v>NIDP DEVELOPERS PRIVATE LIMITED</v>
      </c>
      <c r="B2" s="2164"/>
      <c r="C2" s="2164"/>
      <c r="D2" s="2164"/>
      <c r="E2" s="2164"/>
      <c r="F2" s="2164"/>
      <c r="G2" s="2164"/>
      <c r="H2" s="2164"/>
    </row>
    <row r="3" spans="1:15">
      <c r="A3" s="105" t="s">
        <v>710</v>
      </c>
      <c r="B3" s="105"/>
      <c r="C3" s="105"/>
      <c r="D3" s="105"/>
      <c r="E3" s="105"/>
      <c r="F3" s="1039"/>
      <c r="G3" s="1039"/>
      <c r="H3" s="1039"/>
      <c r="I3" s="2174"/>
      <c r="J3" s="2174"/>
      <c r="K3" s="2174"/>
      <c r="L3" s="2174"/>
      <c r="M3" s="2174"/>
      <c r="N3" s="2174"/>
      <c r="O3" s="93"/>
    </row>
    <row r="4" spans="1:15">
      <c r="A4" s="34"/>
      <c r="B4" s="34"/>
      <c r="C4" s="26"/>
      <c r="D4" s="26"/>
      <c r="E4" s="26"/>
      <c r="F4" s="1040"/>
      <c r="G4" s="1040"/>
      <c r="H4" s="1040"/>
    </row>
    <row r="5" spans="1:15">
      <c r="A5" s="2168" t="s">
        <v>81</v>
      </c>
      <c r="B5" s="1583" t="s">
        <v>10</v>
      </c>
      <c r="C5" s="1681" t="s">
        <v>703</v>
      </c>
      <c r="D5" s="1682"/>
      <c r="E5" s="1682"/>
      <c r="F5" s="2165" t="s">
        <v>350</v>
      </c>
      <c r="G5" s="2166"/>
      <c r="H5" s="2166"/>
      <c r="I5" s="2165" t="s">
        <v>344</v>
      </c>
      <c r="J5" s="2166"/>
      <c r="K5" s="2166"/>
      <c r="L5" s="2166" t="s">
        <v>739</v>
      </c>
      <c r="M5" s="2166"/>
      <c r="N5" s="2166"/>
    </row>
    <row r="6" spans="1:15">
      <c r="A6" s="2169"/>
      <c r="B6" s="1584"/>
      <c r="C6" s="1681" t="s">
        <v>341</v>
      </c>
      <c r="D6" s="1682"/>
      <c r="E6" s="2172"/>
      <c r="F6" s="2165" t="s">
        <v>342</v>
      </c>
      <c r="G6" s="2166"/>
      <c r="H6" s="2167"/>
      <c r="I6" s="2165" t="s">
        <v>343</v>
      </c>
      <c r="J6" s="2166"/>
      <c r="K6" s="2167"/>
      <c r="L6" s="2165" t="s">
        <v>1442</v>
      </c>
      <c r="M6" s="2166"/>
      <c r="N6" s="2167"/>
    </row>
    <row r="7" spans="1:15">
      <c r="A7" s="2170"/>
      <c r="B7" s="1584"/>
      <c r="C7" s="1660" t="s">
        <v>350</v>
      </c>
      <c r="D7" s="1660"/>
      <c r="E7" s="1660"/>
      <c r="F7" s="2165" t="s">
        <v>338</v>
      </c>
      <c r="G7" s="2166"/>
      <c r="H7" s="2167"/>
      <c r="I7" s="2165" t="s">
        <v>183</v>
      </c>
      <c r="J7" s="2166"/>
      <c r="K7" s="2167"/>
      <c r="L7" s="2165" t="s">
        <v>183</v>
      </c>
      <c r="M7" s="2166"/>
      <c r="N7" s="2167"/>
    </row>
    <row r="8" spans="1:15" ht="42.75">
      <c r="A8" s="2171"/>
      <c r="B8" s="1680"/>
      <c r="C8" s="1038" t="s">
        <v>241</v>
      </c>
      <c r="D8" s="1038" t="s">
        <v>242</v>
      </c>
      <c r="E8" s="1038" t="s">
        <v>243</v>
      </c>
      <c r="F8" s="1041" t="s">
        <v>241</v>
      </c>
      <c r="G8" s="1041" t="s">
        <v>242</v>
      </c>
      <c r="H8" s="1041" t="s">
        <v>243</v>
      </c>
      <c r="I8" s="1041" t="s">
        <v>241</v>
      </c>
      <c r="J8" s="1041" t="s">
        <v>242</v>
      </c>
      <c r="K8" s="1041" t="s">
        <v>243</v>
      </c>
      <c r="L8" s="1041" t="s">
        <v>241</v>
      </c>
      <c r="M8" s="1041" t="s">
        <v>242</v>
      </c>
      <c r="N8" s="1041" t="s">
        <v>243</v>
      </c>
    </row>
    <row r="9" spans="1:15">
      <c r="A9" s="84"/>
      <c r="B9" s="85"/>
      <c r="C9" s="2173" t="s">
        <v>2062</v>
      </c>
      <c r="D9" s="2173"/>
      <c r="E9" s="2173"/>
      <c r="F9" s="6"/>
      <c r="G9" s="6"/>
      <c r="H9" s="6"/>
      <c r="I9" s="8"/>
      <c r="J9" s="8"/>
      <c r="K9" s="8"/>
      <c r="L9" s="8"/>
      <c r="M9" s="8"/>
      <c r="N9" s="8"/>
    </row>
    <row r="10" spans="1:15">
      <c r="A10" s="84">
        <v>1</v>
      </c>
      <c r="B10" s="82" t="s">
        <v>244</v>
      </c>
      <c r="C10" s="2173"/>
      <c r="D10" s="2173"/>
      <c r="E10" s="2173"/>
      <c r="F10" s="1042"/>
      <c r="G10" s="1042"/>
      <c r="H10" s="1042"/>
      <c r="I10" s="1043"/>
      <c r="J10" s="1043"/>
      <c r="K10" s="1043"/>
      <c r="L10" s="1043"/>
      <c r="M10" s="1043"/>
      <c r="N10" s="1043"/>
    </row>
    <row r="11" spans="1:15">
      <c r="A11" s="84"/>
      <c r="B11" s="86" t="s">
        <v>245</v>
      </c>
      <c r="C11" s="2173"/>
      <c r="D11" s="2173"/>
      <c r="E11" s="2173"/>
      <c r="F11" s="1045">
        <v>0</v>
      </c>
      <c r="G11" s="1042"/>
      <c r="H11" s="1042">
        <f>+F11+G11</f>
        <v>0</v>
      </c>
      <c r="I11" s="1043"/>
      <c r="J11" s="1043"/>
      <c r="K11" s="1043">
        <f>+H11+I11-J11</f>
        <v>0</v>
      </c>
      <c r="L11" s="1043"/>
      <c r="M11" s="1043"/>
      <c r="N11" s="1043">
        <f>+K11+L11-M11</f>
        <v>0</v>
      </c>
    </row>
    <row r="12" spans="1:15">
      <c r="A12" s="84"/>
      <c r="B12" s="86" t="s">
        <v>246</v>
      </c>
      <c r="C12" s="2173"/>
      <c r="D12" s="2173"/>
      <c r="E12" s="2173"/>
      <c r="F12" s="1045">
        <v>2324</v>
      </c>
      <c r="G12" s="1042"/>
      <c r="H12" s="1042">
        <f t="shared" ref="H12:H13" si="0">+F12+G12</f>
        <v>2324</v>
      </c>
      <c r="I12" s="1043"/>
      <c r="J12" s="1043"/>
      <c r="K12" s="1043">
        <f t="shared" ref="K12:K13" si="1">+H12+I12-J12</f>
        <v>2324</v>
      </c>
      <c r="L12" s="1043"/>
      <c r="M12" s="1043"/>
      <c r="N12" s="1043">
        <f t="shared" ref="N12:N13" si="2">+K12+L12-M12</f>
        <v>2324</v>
      </c>
    </row>
    <row r="13" spans="1:15">
      <c r="A13" s="84"/>
      <c r="B13" s="86" t="s">
        <v>247</v>
      </c>
      <c r="C13" s="2173"/>
      <c r="D13" s="2173"/>
      <c r="E13" s="2173"/>
      <c r="F13" s="1045">
        <v>775</v>
      </c>
      <c r="G13" s="1042"/>
      <c r="H13" s="1042">
        <f t="shared" si="0"/>
        <v>775</v>
      </c>
      <c r="I13" s="1043"/>
      <c r="J13" s="1043"/>
      <c r="K13" s="1043">
        <f t="shared" si="1"/>
        <v>775</v>
      </c>
      <c r="L13" s="1043"/>
      <c r="M13" s="1043"/>
      <c r="N13" s="1043">
        <f t="shared" si="2"/>
        <v>775</v>
      </c>
    </row>
    <row r="14" spans="1:15">
      <c r="A14" s="84"/>
      <c r="B14" s="82" t="s">
        <v>18</v>
      </c>
      <c r="C14" s="2173"/>
      <c r="D14" s="2173"/>
      <c r="E14" s="2173"/>
      <c r="F14" s="1044">
        <f t="shared" ref="F14:N14" si="3">SUM(F11:F13)</f>
        <v>3099</v>
      </c>
      <c r="G14" s="1007">
        <f t="shared" si="3"/>
        <v>0</v>
      </c>
      <c r="H14" s="1007">
        <f t="shared" si="3"/>
        <v>3099</v>
      </c>
      <c r="I14" s="1007">
        <f t="shared" si="3"/>
        <v>0</v>
      </c>
      <c r="J14" s="1007">
        <f t="shared" si="3"/>
        <v>0</v>
      </c>
      <c r="K14" s="1007">
        <f t="shared" si="3"/>
        <v>3099</v>
      </c>
      <c r="L14" s="1007">
        <f t="shared" si="3"/>
        <v>0</v>
      </c>
      <c r="M14" s="1007">
        <f t="shared" si="3"/>
        <v>0</v>
      </c>
      <c r="N14" s="1007">
        <f t="shared" si="3"/>
        <v>3099</v>
      </c>
    </row>
    <row r="15" spans="1:15">
      <c r="A15" s="84"/>
      <c r="B15" s="82"/>
      <c r="C15" s="2173"/>
      <c r="D15" s="2173"/>
      <c r="E15" s="2173"/>
      <c r="F15" s="941"/>
      <c r="G15" s="941"/>
      <c r="H15" s="941"/>
      <c r="I15" s="941"/>
      <c r="J15" s="941"/>
      <c r="K15" s="941"/>
      <c r="L15" s="941"/>
      <c r="M15" s="941"/>
      <c r="N15" s="941"/>
    </row>
    <row r="16" spans="1:15">
      <c r="A16" s="84"/>
      <c r="B16" s="82" t="s">
        <v>285</v>
      </c>
      <c r="C16" s="2173"/>
      <c r="D16" s="2173"/>
      <c r="E16" s="2173"/>
      <c r="F16" s="941"/>
      <c r="G16" s="941"/>
      <c r="H16" s="941"/>
      <c r="I16" s="941"/>
      <c r="J16" s="941"/>
      <c r="K16" s="941"/>
      <c r="L16" s="941"/>
      <c r="M16" s="941"/>
      <c r="N16" s="941"/>
    </row>
    <row r="17" spans="1:14">
      <c r="A17" s="84"/>
      <c r="B17" s="71" t="s">
        <v>286</v>
      </c>
      <c r="C17" s="2173"/>
      <c r="D17" s="2173"/>
      <c r="E17" s="2173"/>
      <c r="F17" s="1045">
        <v>0</v>
      </c>
      <c r="G17" s="941"/>
      <c r="H17" s="1042">
        <f>+F17+G17</f>
        <v>0</v>
      </c>
      <c r="I17" s="1043"/>
      <c r="J17" s="1043"/>
      <c r="K17" s="1043">
        <f>+H17+I17-J17</f>
        <v>0</v>
      </c>
      <c r="L17" s="1043"/>
      <c r="M17" s="1043"/>
      <c r="N17" s="1043">
        <f>+K17+L17-M17</f>
        <v>0</v>
      </c>
    </row>
    <row r="18" spans="1:14">
      <c r="A18" s="84"/>
      <c r="B18" s="71" t="s">
        <v>287</v>
      </c>
      <c r="C18" s="2173"/>
      <c r="D18" s="2173"/>
      <c r="E18" s="2173"/>
      <c r="F18" s="1045">
        <v>6</v>
      </c>
      <c r="G18" s="941"/>
      <c r="H18" s="1042">
        <f t="shared" ref="H18:H23" si="4">+F18+G18</f>
        <v>6</v>
      </c>
      <c r="I18" s="1043"/>
      <c r="J18" s="1043"/>
      <c r="K18" s="1043">
        <f t="shared" ref="K18:K23" si="5">+H18+I18-J18</f>
        <v>6</v>
      </c>
      <c r="L18" s="1043"/>
      <c r="M18" s="1043"/>
      <c r="N18" s="1043">
        <f t="shared" ref="N18:N23" si="6">+K18+L18-M18</f>
        <v>6</v>
      </c>
    </row>
    <row r="19" spans="1:14">
      <c r="A19" s="84"/>
      <c r="B19" s="71" t="s">
        <v>288</v>
      </c>
      <c r="C19" s="2173"/>
      <c r="D19" s="2173"/>
      <c r="E19" s="2173"/>
      <c r="F19" s="1045">
        <v>3</v>
      </c>
      <c r="G19" s="1042"/>
      <c r="H19" s="1042">
        <f t="shared" si="4"/>
        <v>3</v>
      </c>
      <c r="I19" s="1043"/>
      <c r="J19" s="1043"/>
      <c r="K19" s="1043">
        <f t="shared" si="5"/>
        <v>3</v>
      </c>
      <c r="L19" s="1043"/>
      <c r="M19" s="1043"/>
      <c r="N19" s="1043">
        <f t="shared" si="6"/>
        <v>3</v>
      </c>
    </row>
    <row r="20" spans="1:14">
      <c r="A20" s="84">
        <v>2</v>
      </c>
      <c r="B20" s="82" t="s">
        <v>248</v>
      </c>
      <c r="C20" s="2173"/>
      <c r="D20" s="2173"/>
      <c r="E20" s="2173"/>
      <c r="F20" s="6">
        <v>0</v>
      </c>
      <c r="G20" s="1042"/>
      <c r="H20" s="1042">
        <f>+F20+G20</f>
        <v>0</v>
      </c>
      <c r="I20" s="1043"/>
      <c r="J20" s="1043"/>
      <c r="K20" s="1043">
        <f t="shared" si="5"/>
        <v>0</v>
      </c>
      <c r="L20" s="1043"/>
      <c r="M20" s="1043"/>
      <c r="N20" s="1043">
        <f t="shared" si="6"/>
        <v>0</v>
      </c>
    </row>
    <row r="21" spans="1:14">
      <c r="A21" s="84"/>
      <c r="B21" s="82" t="s">
        <v>283</v>
      </c>
      <c r="C21" s="2173"/>
      <c r="D21" s="2173"/>
      <c r="E21" s="2173"/>
      <c r="F21" s="6">
        <v>0</v>
      </c>
      <c r="G21" s="1042"/>
      <c r="H21" s="1042">
        <f t="shared" si="4"/>
        <v>0</v>
      </c>
      <c r="I21" s="1043"/>
      <c r="J21" s="1043"/>
      <c r="K21" s="1043">
        <f t="shared" si="5"/>
        <v>0</v>
      </c>
      <c r="L21" s="1043"/>
      <c r="M21" s="1043"/>
      <c r="N21" s="1043">
        <f t="shared" si="6"/>
        <v>0</v>
      </c>
    </row>
    <row r="22" spans="1:14">
      <c r="A22" s="84">
        <v>3</v>
      </c>
      <c r="B22" s="82" t="s">
        <v>249</v>
      </c>
      <c r="C22" s="2173"/>
      <c r="D22" s="2173"/>
      <c r="E22" s="2173"/>
      <c r="F22" s="6">
        <v>3</v>
      </c>
      <c r="G22" s="1042"/>
      <c r="H22" s="1042">
        <f t="shared" si="4"/>
        <v>3</v>
      </c>
      <c r="I22" s="1043"/>
      <c r="J22" s="1043"/>
      <c r="K22" s="1043">
        <f t="shared" si="5"/>
        <v>3</v>
      </c>
      <c r="L22" s="1043"/>
      <c r="M22" s="1043"/>
      <c r="N22" s="1043">
        <f t="shared" si="6"/>
        <v>3</v>
      </c>
    </row>
    <row r="23" spans="1:14" ht="28.5">
      <c r="A23" s="84"/>
      <c r="B23" s="82" t="s">
        <v>250</v>
      </c>
      <c r="C23" s="2173"/>
      <c r="D23" s="2173"/>
      <c r="E23" s="2173"/>
      <c r="F23" s="6">
        <f>3*55</f>
        <v>165</v>
      </c>
      <c r="G23" s="1042"/>
      <c r="H23" s="1042">
        <f t="shared" si="4"/>
        <v>165</v>
      </c>
      <c r="I23" s="1043"/>
      <c r="J23" s="1043"/>
      <c r="K23" s="1043">
        <f t="shared" si="5"/>
        <v>165</v>
      </c>
      <c r="L23" s="1043"/>
      <c r="M23" s="1043"/>
      <c r="N23" s="1043">
        <f t="shared" si="6"/>
        <v>165</v>
      </c>
    </row>
    <row r="24" spans="1:14">
      <c r="A24" s="84"/>
      <c r="B24" s="82"/>
      <c r="C24" s="2173"/>
      <c r="D24" s="2173"/>
      <c r="E24" s="2173"/>
      <c r="F24" s="1042"/>
      <c r="G24" s="1042"/>
      <c r="H24" s="1042"/>
      <c r="I24" s="1043"/>
      <c r="J24" s="1043"/>
      <c r="K24" s="1043"/>
      <c r="L24" s="1043"/>
      <c r="M24" s="1043"/>
      <c r="N24" s="1043"/>
    </row>
    <row r="25" spans="1:14" ht="42.75">
      <c r="A25" s="84">
        <v>3</v>
      </c>
      <c r="B25" s="82" t="s">
        <v>1745</v>
      </c>
      <c r="C25" s="2173"/>
      <c r="D25" s="2173"/>
      <c r="E25" s="2173"/>
      <c r="F25" s="1042">
        <v>2</v>
      </c>
      <c r="G25" s="1042"/>
      <c r="H25" s="1042">
        <f t="shared" ref="H25:H26" si="7">+F25+G25</f>
        <v>2</v>
      </c>
      <c r="I25" s="1043"/>
      <c r="J25" s="1043"/>
      <c r="K25" s="1043">
        <f t="shared" ref="K25:K26" si="8">+H25+I25-J25</f>
        <v>2</v>
      </c>
      <c r="L25" s="1043"/>
      <c r="M25" s="1043"/>
      <c r="N25" s="1043">
        <f t="shared" ref="N25:N26" si="9">+K25+L25-M25</f>
        <v>2</v>
      </c>
    </row>
    <row r="26" spans="1:14" ht="28.5">
      <c r="A26" s="84"/>
      <c r="B26" s="82" t="s">
        <v>1746</v>
      </c>
      <c r="C26" s="2173"/>
      <c r="D26" s="2173"/>
      <c r="E26" s="2173"/>
      <c r="F26" s="1042">
        <v>1.6</v>
      </c>
      <c r="G26" s="1042"/>
      <c r="H26" s="1042">
        <f t="shared" si="7"/>
        <v>1.6</v>
      </c>
      <c r="I26" s="1043"/>
      <c r="J26" s="1043"/>
      <c r="K26" s="1043">
        <f t="shared" si="8"/>
        <v>1.6</v>
      </c>
      <c r="L26" s="1043"/>
      <c r="M26" s="1043"/>
      <c r="N26" s="1043">
        <f t="shared" si="9"/>
        <v>1.6</v>
      </c>
    </row>
    <row r="27" spans="1:14">
      <c r="A27" s="84"/>
      <c r="B27" s="82"/>
      <c r="C27" s="2173"/>
      <c r="D27" s="2173"/>
      <c r="E27" s="2173"/>
      <c r="F27" s="1042"/>
      <c r="G27" s="1042"/>
      <c r="H27" s="1042"/>
      <c r="I27" s="1043"/>
      <c r="J27" s="1043"/>
      <c r="K27" s="1043"/>
      <c r="L27" s="1043"/>
      <c r="M27" s="1043"/>
      <c r="N27" s="1043"/>
    </row>
    <row r="28" spans="1:14">
      <c r="A28" s="84">
        <v>4</v>
      </c>
      <c r="B28" s="82" t="s">
        <v>251</v>
      </c>
      <c r="C28" s="2173"/>
      <c r="D28" s="2173"/>
      <c r="E28" s="2173"/>
      <c r="F28" s="1042"/>
      <c r="G28" s="1042"/>
      <c r="H28" s="1042"/>
      <c r="I28" s="1043"/>
      <c r="J28" s="1043"/>
      <c r="K28" s="1043"/>
      <c r="L28" s="1043"/>
      <c r="M28" s="1043"/>
      <c r="N28" s="1043"/>
    </row>
    <row r="29" spans="1:14">
      <c r="A29" s="84"/>
      <c r="B29" s="86" t="s">
        <v>252</v>
      </c>
      <c r="C29" s="2173"/>
      <c r="D29" s="2173"/>
      <c r="E29" s="2173"/>
      <c r="F29" s="1042"/>
      <c r="G29" s="1042"/>
      <c r="H29" s="1042"/>
      <c r="I29" s="1043"/>
      <c r="J29" s="1043"/>
      <c r="K29" s="1043"/>
      <c r="L29" s="1043"/>
      <c r="M29" s="1043"/>
      <c r="N29" s="1043"/>
    </row>
    <row r="30" spans="1:14">
      <c r="A30" s="84"/>
      <c r="B30" s="86" t="s">
        <v>253</v>
      </c>
      <c r="C30" s="2173"/>
      <c r="D30" s="2173"/>
      <c r="E30" s="2173"/>
      <c r="F30" s="1042">
        <v>0</v>
      </c>
      <c r="G30" s="1042"/>
      <c r="H30" s="1042">
        <f t="shared" ref="H30" si="10">+F30+G30</f>
        <v>0</v>
      </c>
      <c r="I30" s="1043"/>
      <c r="J30" s="1043"/>
      <c r="K30" s="1043">
        <f t="shared" ref="K30" si="11">+H30+I30-J30</f>
        <v>0</v>
      </c>
      <c r="L30" s="1043"/>
      <c r="M30" s="1043"/>
      <c r="N30" s="1043">
        <f t="shared" ref="N30" si="12">+K30+L30-M30</f>
        <v>0</v>
      </c>
    </row>
    <row r="31" spans="1:14">
      <c r="A31" s="84"/>
      <c r="B31" s="86" t="s">
        <v>254</v>
      </c>
      <c r="C31" s="2173"/>
      <c r="D31" s="2173"/>
      <c r="E31" s="2173"/>
      <c r="F31" s="1042"/>
      <c r="G31" s="1042"/>
      <c r="H31" s="1042"/>
      <c r="I31" s="1043"/>
      <c r="J31" s="1043"/>
      <c r="K31" s="1043"/>
      <c r="L31" s="1043"/>
      <c r="M31" s="1043"/>
      <c r="N31" s="1043"/>
    </row>
    <row r="32" spans="1:14">
      <c r="A32" s="84"/>
      <c r="B32" s="86" t="s">
        <v>255</v>
      </c>
      <c r="C32" s="2173"/>
      <c r="D32" s="2173"/>
      <c r="E32" s="2173"/>
      <c r="F32" s="1042">
        <v>4</v>
      </c>
      <c r="G32" s="1042"/>
      <c r="H32" s="1042">
        <f t="shared" ref="H32" si="13">+F32+G32</f>
        <v>4</v>
      </c>
      <c r="I32" s="1043"/>
      <c r="J32" s="1043"/>
      <c r="K32" s="1043">
        <f t="shared" ref="K32" si="14">+H32+I32-J32</f>
        <v>4</v>
      </c>
      <c r="L32" s="1043"/>
      <c r="M32" s="1043"/>
      <c r="N32" s="1043">
        <f t="shared" ref="N32" si="15">+K32+L32-M32</f>
        <v>4</v>
      </c>
    </row>
    <row r="33" spans="1:14">
      <c r="A33" s="84"/>
      <c r="B33" s="86" t="s">
        <v>256</v>
      </c>
      <c r="C33" s="2173"/>
      <c r="D33" s="2173"/>
      <c r="E33" s="2173"/>
      <c r="F33" s="1042"/>
      <c r="G33" s="1042"/>
      <c r="H33" s="1042"/>
      <c r="I33" s="1043"/>
      <c r="J33" s="1043"/>
      <c r="K33" s="1043"/>
      <c r="L33" s="1043"/>
      <c r="M33" s="1043"/>
      <c r="N33" s="1043"/>
    </row>
    <row r="34" spans="1:14">
      <c r="A34" s="84"/>
      <c r="B34" s="82" t="s">
        <v>18</v>
      </c>
      <c r="C34" s="2173"/>
      <c r="D34" s="2173"/>
      <c r="E34" s="2173"/>
      <c r="F34" s="702">
        <f t="shared" ref="F34:N34" si="16">SUM(F29:F33)</f>
        <v>4</v>
      </c>
      <c r="G34" s="702">
        <f t="shared" si="16"/>
        <v>0</v>
      </c>
      <c r="H34" s="702">
        <f t="shared" si="16"/>
        <v>4</v>
      </c>
      <c r="I34" s="702">
        <f t="shared" si="16"/>
        <v>0</v>
      </c>
      <c r="J34" s="702">
        <f t="shared" si="16"/>
        <v>0</v>
      </c>
      <c r="K34" s="702">
        <f t="shared" si="16"/>
        <v>4</v>
      </c>
      <c r="L34" s="702">
        <f t="shared" si="16"/>
        <v>0</v>
      </c>
      <c r="M34" s="702">
        <f t="shared" si="16"/>
        <v>0</v>
      </c>
      <c r="N34" s="702">
        <f t="shared" si="16"/>
        <v>4</v>
      </c>
    </row>
    <row r="35" spans="1:14">
      <c r="A35" s="84"/>
      <c r="B35" s="86"/>
      <c r="C35" s="2173"/>
      <c r="D35" s="2173"/>
      <c r="E35" s="2173"/>
      <c r="F35" s="1042"/>
      <c r="G35" s="1042"/>
      <c r="H35" s="1042"/>
      <c r="I35" s="1043"/>
      <c r="J35" s="1043"/>
      <c r="K35" s="1043"/>
      <c r="L35" s="1043"/>
      <c r="M35" s="1043"/>
      <c r="N35" s="1043"/>
    </row>
    <row r="36" spans="1:14">
      <c r="A36" s="84">
        <v>5</v>
      </c>
      <c r="B36" s="82" t="s">
        <v>257</v>
      </c>
      <c r="C36" s="2173"/>
      <c r="D36" s="2173"/>
      <c r="E36" s="2173"/>
      <c r="F36" s="1042"/>
      <c r="G36" s="1042"/>
      <c r="H36" s="1042"/>
      <c r="I36" s="1043"/>
      <c r="J36" s="1043"/>
      <c r="K36" s="1043"/>
      <c r="L36" s="1043"/>
      <c r="M36" s="1043"/>
      <c r="N36" s="1043"/>
    </row>
    <row r="37" spans="1:14">
      <c r="A37" s="84"/>
      <c r="B37" s="86" t="s">
        <v>258</v>
      </c>
      <c r="C37" s="2173"/>
      <c r="D37" s="2173"/>
      <c r="E37" s="2173"/>
      <c r="F37" s="1042"/>
      <c r="G37" s="1042"/>
      <c r="H37" s="1042"/>
      <c r="I37" s="1043"/>
      <c r="J37" s="1043"/>
      <c r="K37" s="1043"/>
      <c r="L37" s="1043"/>
      <c r="M37" s="1043"/>
      <c r="N37" s="1043"/>
    </row>
    <row r="38" spans="1:14">
      <c r="A38" s="84"/>
      <c r="B38" s="86" t="s">
        <v>259</v>
      </c>
      <c r="C38" s="2173"/>
      <c r="D38" s="2173"/>
      <c r="E38" s="2173"/>
      <c r="F38" s="1042"/>
      <c r="G38" s="1042"/>
      <c r="H38" s="1042"/>
      <c r="I38" s="1043"/>
      <c r="J38" s="1043"/>
      <c r="K38" s="1043"/>
      <c r="L38" s="1043"/>
      <c r="M38" s="1043"/>
      <c r="N38" s="1043"/>
    </row>
    <row r="39" spans="1:14">
      <c r="A39" s="84"/>
      <c r="B39" s="82"/>
      <c r="C39" s="2173"/>
      <c r="D39" s="2173"/>
      <c r="E39" s="2173"/>
      <c r="F39" s="568">
        <f t="shared" ref="F39:N39" si="17">SUM(F37:F38)</f>
        <v>0</v>
      </c>
      <c r="G39" s="568">
        <f t="shared" si="17"/>
        <v>0</v>
      </c>
      <c r="H39" s="568">
        <f t="shared" si="17"/>
        <v>0</v>
      </c>
      <c r="I39" s="568">
        <f t="shared" si="17"/>
        <v>0</v>
      </c>
      <c r="J39" s="568">
        <f t="shared" si="17"/>
        <v>0</v>
      </c>
      <c r="K39" s="568">
        <f t="shared" si="17"/>
        <v>0</v>
      </c>
      <c r="L39" s="568">
        <f t="shared" si="17"/>
        <v>0</v>
      </c>
      <c r="M39" s="568">
        <f t="shared" si="17"/>
        <v>0</v>
      </c>
      <c r="N39" s="568">
        <f t="shared" si="17"/>
        <v>0</v>
      </c>
    </row>
    <row r="40" spans="1:14" ht="28.5">
      <c r="A40" s="87"/>
      <c r="B40" s="82" t="s">
        <v>291</v>
      </c>
      <c r="C40" s="1046"/>
      <c r="D40" s="1046"/>
      <c r="E40" s="1046"/>
      <c r="F40" s="8"/>
      <c r="G40" s="8"/>
      <c r="H40" s="8"/>
      <c r="I40" s="8"/>
      <c r="J40" s="8"/>
      <c r="K40" s="8"/>
      <c r="L40" s="8"/>
      <c r="M40" s="8"/>
      <c r="N40" s="8"/>
    </row>
    <row r="41" spans="1:14">
      <c r="A41" s="52"/>
    </row>
    <row r="42" spans="1:14">
      <c r="A42" s="52"/>
    </row>
    <row r="43" spans="1:14">
      <c r="A43" s="52"/>
    </row>
    <row r="44" spans="1:14">
      <c r="A44" s="52"/>
    </row>
    <row r="45" spans="1:14">
      <c r="A45" s="52"/>
    </row>
    <row r="46" spans="1:14">
      <c r="A46" s="52"/>
    </row>
    <row r="47" spans="1:14">
      <c r="A47" s="52"/>
    </row>
    <row r="48" spans="1:14">
      <c r="A48" s="52"/>
    </row>
    <row r="49" spans="1:1">
      <c r="A49" s="52"/>
    </row>
    <row r="50" spans="1:1">
      <c r="A50" s="52"/>
    </row>
    <row r="51" spans="1:1">
      <c r="A51" s="52"/>
    </row>
  </sheetData>
  <mergeCells count="19">
    <mergeCell ref="C9:E39"/>
    <mergeCell ref="K3:L3"/>
    <mergeCell ref="M3:N3"/>
    <mergeCell ref="I7:K7"/>
    <mergeCell ref="L7:N7"/>
    <mergeCell ref="I6:K6"/>
    <mergeCell ref="L6:N6"/>
    <mergeCell ref="I5:K5"/>
    <mergeCell ref="L5:N5"/>
    <mergeCell ref="I3:J3"/>
    <mergeCell ref="A2:H2"/>
    <mergeCell ref="F7:H7"/>
    <mergeCell ref="B5:B8"/>
    <mergeCell ref="F5:H5"/>
    <mergeCell ref="C7:E7"/>
    <mergeCell ref="A5:A8"/>
    <mergeCell ref="C6:E6"/>
    <mergeCell ref="C5:E5"/>
    <mergeCell ref="F6:H6"/>
  </mergeCells>
  <pageMargins left="0.51181102362204722" right="0.23622047244094491" top="0.51181102362204722" bottom="0.51181102362204722" header="0" footer="0"/>
  <pageSetup paperSize="9" scale="7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00FFFF"/>
  </sheetPr>
  <dimension ref="A1:AE96"/>
  <sheetViews>
    <sheetView showGridLines="0" view="pageBreakPreview" topLeftCell="C49" zoomScale="80" zoomScaleNormal="80" zoomScaleSheetLayoutView="80" workbookViewId="0">
      <selection activeCell="E35" sqref="E35"/>
    </sheetView>
  </sheetViews>
  <sheetFormatPr defaultColWidth="9.19921875" defaultRowHeight="14.25"/>
  <cols>
    <col min="1" max="1" width="9.19921875" style="213"/>
    <col min="2" max="2" width="41.86328125" style="213" customWidth="1"/>
    <col min="3" max="3" width="14.53125" style="218" customWidth="1"/>
    <col min="4" max="4" width="12" style="213" customWidth="1"/>
    <col min="5" max="5" width="10.46484375" style="213" customWidth="1"/>
    <col min="6" max="6" width="14.19921875" style="213" customWidth="1"/>
    <col min="7" max="7" width="11.53125" style="213" customWidth="1"/>
    <col min="8" max="8" width="25.796875" style="213" customWidth="1"/>
    <col min="9" max="9" width="10.796875" style="213" customWidth="1"/>
    <col min="10" max="10" width="11.19921875" style="213" customWidth="1"/>
    <col min="11" max="11" width="15.46484375" style="213" customWidth="1"/>
    <col min="12" max="14" width="12.46484375" style="213" customWidth="1"/>
    <col min="15" max="16384" width="9.19921875" style="213"/>
  </cols>
  <sheetData>
    <row r="1" spans="1:31">
      <c r="A1" s="594" t="s">
        <v>1252</v>
      </c>
      <c r="B1" s="594"/>
      <c r="C1" s="213"/>
    </row>
    <row r="2" spans="1:31">
      <c r="A2" s="241" t="str">
        <f>+'BS1'!A2</f>
        <v>NIDP DEVELOPERS PRIVATE LIMITED</v>
      </c>
      <c r="B2" s="179"/>
      <c r="C2" s="179"/>
      <c r="D2" s="179"/>
      <c r="E2" s="179"/>
      <c r="F2" s="179"/>
      <c r="H2" s="241"/>
      <c r="I2" s="241"/>
      <c r="J2" s="241"/>
      <c r="K2" s="241"/>
      <c r="L2" s="241"/>
      <c r="M2" s="241"/>
      <c r="N2" s="241"/>
      <c r="O2" s="241"/>
      <c r="P2" s="241"/>
      <c r="Q2" s="241"/>
      <c r="R2" s="241"/>
      <c r="S2" s="241"/>
      <c r="T2" s="241"/>
      <c r="U2" s="241"/>
      <c r="V2" s="241"/>
      <c r="W2" s="241"/>
      <c r="X2" s="241"/>
      <c r="Y2" s="241"/>
      <c r="Z2" s="241"/>
      <c r="AA2" s="241"/>
      <c r="AB2" s="241"/>
      <c r="AC2" s="241"/>
      <c r="AD2" s="241"/>
      <c r="AE2" s="241"/>
    </row>
    <row r="3" spans="1:31">
      <c r="A3" s="595" t="s">
        <v>716</v>
      </c>
      <c r="B3" s="476"/>
      <c r="C3" s="476"/>
      <c r="D3" s="476"/>
      <c r="E3" s="476"/>
      <c r="F3" s="476"/>
      <c r="G3" s="596"/>
      <c r="H3" s="476"/>
      <c r="I3" s="476"/>
      <c r="J3" s="476"/>
      <c r="K3" s="476"/>
      <c r="L3" s="476"/>
      <c r="M3" s="476"/>
      <c r="N3" s="476"/>
      <c r="O3" s="476"/>
      <c r="P3" s="476"/>
      <c r="Q3" s="476"/>
      <c r="R3" s="476"/>
      <c r="S3" s="476"/>
      <c r="T3" s="476"/>
      <c r="U3" s="476"/>
      <c r="V3" s="476"/>
      <c r="W3" s="476"/>
      <c r="X3" s="476"/>
      <c r="Y3" s="476"/>
      <c r="Z3" s="476"/>
      <c r="AA3" s="476"/>
      <c r="AB3" s="476"/>
      <c r="AC3" s="476"/>
      <c r="AD3" s="476"/>
      <c r="AE3" s="476"/>
    </row>
    <row r="4" spans="1:31" ht="57">
      <c r="A4" s="1554" t="s">
        <v>74</v>
      </c>
      <c r="B4" s="1553" t="s">
        <v>745</v>
      </c>
      <c r="C4" s="1553" t="s">
        <v>34</v>
      </c>
      <c r="D4" s="182" t="s">
        <v>717</v>
      </c>
      <c r="E4" s="182" t="s">
        <v>718</v>
      </c>
      <c r="F4" s="182" t="s">
        <v>338</v>
      </c>
      <c r="G4" s="182" t="s">
        <v>719</v>
      </c>
      <c r="H4" s="1553" t="s">
        <v>80</v>
      </c>
      <c r="I4" s="182" t="s">
        <v>720</v>
      </c>
      <c r="J4" s="182" t="s">
        <v>721</v>
      </c>
      <c r="K4" s="1553" t="s">
        <v>80</v>
      </c>
    </row>
    <row r="5" spans="1:31">
      <c r="A5" s="1554"/>
      <c r="B5" s="1553"/>
      <c r="C5" s="1553"/>
      <c r="D5" s="1553" t="s">
        <v>722</v>
      </c>
      <c r="E5" s="1553" t="s">
        <v>723</v>
      </c>
      <c r="F5" s="1553" t="s">
        <v>724</v>
      </c>
      <c r="G5" s="1553" t="s">
        <v>725</v>
      </c>
      <c r="H5" s="1553"/>
      <c r="I5" s="1553" t="s">
        <v>726</v>
      </c>
      <c r="J5" s="1553" t="s">
        <v>727</v>
      </c>
      <c r="K5" s="1553"/>
    </row>
    <row r="6" spans="1:31">
      <c r="A6" s="1554"/>
      <c r="B6" s="1553"/>
      <c r="C6" s="1553"/>
      <c r="D6" s="1553"/>
      <c r="E6" s="1553"/>
      <c r="F6" s="1553"/>
      <c r="G6" s="1553"/>
      <c r="H6" s="1553"/>
      <c r="I6" s="1553"/>
      <c r="J6" s="1553"/>
      <c r="K6" s="1553"/>
    </row>
    <row r="7" spans="1:31" ht="28.5">
      <c r="A7" s="1554"/>
      <c r="B7" s="1553"/>
      <c r="C7" s="1553"/>
      <c r="D7" s="1553" t="s">
        <v>358</v>
      </c>
      <c r="E7" s="1553"/>
      <c r="F7" s="1553"/>
      <c r="G7" s="1553"/>
      <c r="H7" s="1553"/>
      <c r="I7" s="182" t="s">
        <v>728</v>
      </c>
      <c r="J7" s="1553"/>
      <c r="K7" s="1553"/>
    </row>
    <row r="8" spans="1:31" ht="28.5">
      <c r="A8" s="574" t="s">
        <v>11</v>
      </c>
      <c r="B8" s="575" t="s">
        <v>1377</v>
      </c>
      <c r="C8" s="6" t="s">
        <v>198</v>
      </c>
      <c r="D8" s="1561" t="s">
        <v>2196</v>
      </c>
      <c r="E8" s="675">
        <f>+'Energy Balance'!H14</f>
        <v>38.255656240000036</v>
      </c>
      <c r="F8" s="675">
        <f>+E8</f>
        <v>38.255656240000036</v>
      </c>
      <c r="G8" s="1561" t="s">
        <v>2196</v>
      </c>
      <c r="H8" s="305"/>
      <c r="I8" s="1561" t="s">
        <v>2196</v>
      </c>
      <c r="J8" s="1561" t="s">
        <v>2196</v>
      </c>
      <c r="K8" s="306"/>
    </row>
    <row r="9" spans="1:31">
      <c r="A9" s="574" t="s">
        <v>12</v>
      </c>
      <c r="B9" s="577" t="s">
        <v>158</v>
      </c>
      <c r="C9" s="6" t="s">
        <v>198</v>
      </c>
      <c r="D9" s="1562"/>
      <c r="E9" s="675">
        <f>+'Energy Balance'!H8</f>
        <v>37.540040376137725</v>
      </c>
      <c r="F9" s="675">
        <f>+E9</f>
        <v>37.540040376137725</v>
      </c>
      <c r="G9" s="1562"/>
      <c r="H9" s="321"/>
      <c r="I9" s="1562"/>
      <c r="J9" s="1562"/>
      <c r="K9" s="196"/>
    </row>
    <row r="10" spans="1:31">
      <c r="A10" s="574" t="s">
        <v>13</v>
      </c>
      <c r="B10" s="577" t="s">
        <v>159</v>
      </c>
      <c r="C10" s="6" t="s">
        <v>35</v>
      </c>
      <c r="D10" s="1562"/>
      <c r="E10" s="970">
        <f>(E8-E9)/E8</f>
        <v>1.8706145291897115E-2</v>
      </c>
      <c r="F10" s="970">
        <f>(F8-F9)/F8</f>
        <v>1.8706145291897115E-2</v>
      </c>
      <c r="G10" s="1562"/>
      <c r="H10" s="321"/>
      <c r="I10" s="1562"/>
      <c r="J10" s="1562"/>
      <c r="K10" s="306"/>
    </row>
    <row r="11" spans="1:31">
      <c r="A11" s="574"/>
      <c r="B11" s="578"/>
      <c r="C11" s="6"/>
      <c r="D11" s="1562"/>
      <c r="E11" s="307"/>
      <c r="F11" s="320"/>
      <c r="G11" s="1562"/>
      <c r="H11" s="321"/>
      <c r="I11" s="1562"/>
      <c r="J11" s="1562"/>
      <c r="K11" s="306"/>
    </row>
    <row r="12" spans="1:31">
      <c r="A12" s="574" t="s">
        <v>85</v>
      </c>
      <c r="B12" s="579" t="s">
        <v>14</v>
      </c>
      <c r="C12" s="6"/>
      <c r="D12" s="1562"/>
      <c r="E12" s="307"/>
      <c r="F12" s="320"/>
      <c r="G12" s="1562"/>
      <c r="H12" s="321"/>
      <c r="I12" s="1562"/>
      <c r="J12" s="1562"/>
      <c r="K12" s="306"/>
    </row>
    <row r="13" spans="1:31" ht="28.5">
      <c r="A13" s="474" t="s">
        <v>15</v>
      </c>
      <c r="B13" s="477" t="s">
        <v>165</v>
      </c>
      <c r="C13" s="101" t="s">
        <v>744</v>
      </c>
      <c r="D13" s="1562"/>
      <c r="E13" s="977">
        <f>+'ESR3_Curr Tariff'!O16</f>
        <v>29.901866872785767</v>
      </c>
      <c r="F13" s="972">
        <f>+E13</f>
        <v>29.901866872785767</v>
      </c>
      <c r="G13" s="1562"/>
      <c r="H13" s="321"/>
      <c r="I13" s="1562"/>
      <c r="J13" s="1562"/>
      <c r="K13" s="306"/>
      <c r="L13" s="388"/>
      <c r="M13" s="388"/>
    </row>
    <row r="14" spans="1:31">
      <c r="A14" s="580"/>
      <c r="B14" s="581" t="s">
        <v>607</v>
      </c>
      <c r="C14" s="4" t="s">
        <v>744</v>
      </c>
      <c r="D14" s="1562"/>
      <c r="E14" s="978">
        <f>+E13</f>
        <v>29.901866872785767</v>
      </c>
      <c r="F14" s="978">
        <f>+F13</f>
        <v>29.901866872785767</v>
      </c>
      <c r="G14" s="1562"/>
      <c r="H14" s="321"/>
      <c r="I14" s="1562"/>
      <c r="J14" s="1562"/>
      <c r="K14" s="196"/>
    </row>
    <row r="15" spans="1:31">
      <c r="A15" s="474"/>
      <c r="B15" s="583"/>
      <c r="C15" s="6"/>
      <c r="D15" s="1562"/>
      <c r="E15" s="979"/>
      <c r="F15" s="972"/>
      <c r="G15" s="1562"/>
      <c r="H15" s="321"/>
      <c r="I15" s="1562"/>
      <c r="J15" s="1562"/>
      <c r="K15" s="306"/>
    </row>
    <row r="16" spans="1:31">
      <c r="A16" s="474" t="s">
        <v>33</v>
      </c>
      <c r="B16" s="579" t="s">
        <v>19</v>
      </c>
      <c r="C16" s="6"/>
      <c r="D16" s="1562"/>
      <c r="E16" s="978"/>
      <c r="F16" s="980"/>
      <c r="G16" s="1562"/>
      <c r="H16" s="305"/>
      <c r="I16" s="1562"/>
      <c r="J16" s="1562"/>
      <c r="K16" s="196"/>
    </row>
    <row r="17" spans="1:11">
      <c r="A17" s="474" t="s">
        <v>15</v>
      </c>
      <c r="B17" s="477" t="s">
        <v>163</v>
      </c>
      <c r="C17" s="6" t="s">
        <v>744</v>
      </c>
      <c r="D17" s="1562"/>
      <c r="E17" s="981">
        <f>+F1_PP_Annual!O236-F1_PP_Annual!O210</f>
        <v>23.966797271099999</v>
      </c>
      <c r="F17" s="972">
        <f>+E17</f>
        <v>23.966797271099999</v>
      </c>
      <c r="G17" s="1562"/>
      <c r="H17" s="321"/>
      <c r="I17" s="1562"/>
      <c r="J17" s="1562"/>
      <c r="K17" s="306"/>
    </row>
    <row r="18" spans="1:11" ht="28.5">
      <c r="A18" s="623"/>
      <c r="B18" s="624" t="s">
        <v>1422</v>
      </c>
      <c r="C18" s="625" t="s">
        <v>744</v>
      </c>
      <c r="D18" s="1562"/>
      <c r="E18" s="982"/>
      <c r="F18" s="975"/>
      <c r="G18" s="1562"/>
      <c r="H18" s="619"/>
      <c r="I18" s="1562"/>
      <c r="J18" s="1562"/>
      <c r="K18" s="618"/>
    </row>
    <row r="19" spans="1:11">
      <c r="A19" s="623" t="s">
        <v>16</v>
      </c>
      <c r="B19" s="624" t="s">
        <v>164</v>
      </c>
      <c r="C19" s="622" t="s">
        <v>744</v>
      </c>
      <c r="D19" s="1562"/>
      <c r="E19" s="982">
        <f>+F1_PP_Annual!O210</f>
        <v>0.94260739999999998</v>
      </c>
      <c r="F19" s="975">
        <f>+E19</f>
        <v>0.94260739999999998</v>
      </c>
      <c r="G19" s="1562"/>
      <c r="H19" s="619"/>
      <c r="I19" s="1562"/>
      <c r="J19" s="1562"/>
      <c r="K19" s="621"/>
    </row>
    <row r="20" spans="1:11">
      <c r="A20" s="623" t="s">
        <v>17</v>
      </c>
      <c r="B20" s="624" t="s">
        <v>628</v>
      </c>
      <c r="C20" s="622" t="s">
        <v>744</v>
      </c>
      <c r="D20" s="1562"/>
      <c r="E20" s="982"/>
      <c r="F20" s="975"/>
      <c r="G20" s="1562"/>
      <c r="H20" s="619"/>
      <c r="I20" s="1562"/>
      <c r="J20" s="1562"/>
      <c r="K20" s="618"/>
    </row>
    <row r="21" spans="1:11">
      <c r="A21" s="623" t="s">
        <v>82</v>
      </c>
      <c r="B21" s="624" t="s">
        <v>1396</v>
      </c>
      <c r="C21" s="622" t="s">
        <v>744</v>
      </c>
      <c r="D21" s="1562"/>
      <c r="E21" s="557">
        <f>+'F22_O&amp;M_R&amp;M'!D14</f>
        <v>0</v>
      </c>
      <c r="F21" s="975">
        <f>+E21</f>
        <v>0</v>
      </c>
      <c r="G21" s="1562"/>
      <c r="H21" s="620"/>
      <c r="I21" s="1562"/>
      <c r="J21" s="1562"/>
      <c r="K21" s="621"/>
    </row>
    <row r="22" spans="1:11">
      <c r="A22" s="623" t="s">
        <v>83</v>
      </c>
      <c r="B22" s="624" t="s">
        <v>1378</v>
      </c>
      <c r="C22" s="622" t="s">
        <v>744</v>
      </c>
      <c r="D22" s="1562"/>
      <c r="E22" s="982">
        <f>+'F21_O&amp;M_EE (A)'!I31</f>
        <v>0</v>
      </c>
      <c r="F22" s="975">
        <f t="shared" ref="F22:F23" si="0">+E22</f>
        <v>0</v>
      </c>
      <c r="G22" s="1562"/>
      <c r="H22" s="619"/>
      <c r="I22" s="1562"/>
      <c r="J22" s="1562"/>
      <c r="K22" s="621"/>
    </row>
    <row r="23" spans="1:11">
      <c r="A23" s="623" t="s">
        <v>86</v>
      </c>
      <c r="B23" s="624" t="s">
        <v>1379</v>
      </c>
      <c r="C23" s="622" t="s">
        <v>744</v>
      </c>
      <c r="D23" s="1562"/>
      <c r="E23" s="982">
        <f>+'F23_O&amp;M_A&amp;G'!H46</f>
        <v>3.1162040363150689</v>
      </c>
      <c r="F23" s="975">
        <f t="shared" si="0"/>
        <v>3.1162040363150689</v>
      </c>
      <c r="G23" s="1562"/>
      <c r="H23" s="619"/>
      <c r="I23" s="1562"/>
      <c r="J23" s="1562"/>
      <c r="K23" s="621"/>
    </row>
    <row r="24" spans="1:11">
      <c r="A24" s="623"/>
      <c r="B24" s="606" t="s">
        <v>1423</v>
      </c>
      <c r="C24" s="625" t="s">
        <v>744</v>
      </c>
      <c r="D24" s="1562"/>
      <c r="E24" s="982"/>
      <c r="F24" s="976"/>
      <c r="G24" s="1562"/>
      <c r="H24" s="619"/>
      <c r="I24" s="1562"/>
      <c r="J24" s="1562"/>
      <c r="K24" s="621"/>
    </row>
    <row r="25" spans="1:11">
      <c r="A25" s="623"/>
      <c r="B25" s="606" t="s">
        <v>1424</v>
      </c>
      <c r="C25" s="625" t="s">
        <v>744</v>
      </c>
      <c r="D25" s="1562"/>
      <c r="E25" s="982"/>
      <c r="F25" s="976"/>
      <c r="G25" s="1562"/>
      <c r="H25" s="619"/>
      <c r="I25" s="1562"/>
      <c r="J25" s="1562"/>
      <c r="K25" s="621"/>
    </row>
    <row r="26" spans="1:11">
      <c r="A26" s="623"/>
      <c r="B26" s="606" t="s">
        <v>1425</v>
      </c>
      <c r="C26" s="625" t="s">
        <v>744</v>
      </c>
      <c r="D26" s="1562"/>
      <c r="E26" s="982"/>
      <c r="F26" s="976"/>
      <c r="G26" s="1562"/>
      <c r="H26" s="619"/>
      <c r="I26" s="1562"/>
      <c r="J26" s="1562"/>
      <c r="K26" s="621"/>
    </row>
    <row r="27" spans="1:11">
      <c r="A27" s="623"/>
      <c r="B27" s="624" t="s">
        <v>1380</v>
      </c>
      <c r="C27" s="622" t="s">
        <v>744</v>
      </c>
      <c r="D27" s="1562"/>
      <c r="E27" s="983">
        <f>+E21+E22+E23</f>
        <v>3.1162040363150689</v>
      </c>
      <c r="F27" s="983">
        <f>+F21+F22+F23</f>
        <v>3.1162040363150689</v>
      </c>
      <c r="G27" s="1562"/>
      <c r="H27" s="620"/>
      <c r="I27" s="1562"/>
      <c r="J27" s="1562"/>
      <c r="K27" s="621"/>
    </row>
    <row r="28" spans="1:11">
      <c r="A28" s="623" t="s">
        <v>20</v>
      </c>
      <c r="B28" s="624" t="s">
        <v>21</v>
      </c>
      <c r="C28" s="622" t="s">
        <v>744</v>
      </c>
      <c r="D28" s="1562"/>
      <c r="E28" s="982">
        <f>+F24_Dep!G51</f>
        <v>1.631878364731169</v>
      </c>
      <c r="F28" s="975">
        <f>+E28</f>
        <v>1.631878364731169</v>
      </c>
      <c r="G28" s="1562"/>
      <c r="H28" s="619"/>
      <c r="I28" s="1562"/>
      <c r="J28" s="1562"/>
      <c r="K28" s="618"/>
    </row>
    <row r="29" spans="1:11">
      <c r="A29" s="623" t="s">
        <v>22</v>
      </c>
      <c r="B29" s="624" t="s">
        <v>1381</v>
      </c>
      <c r="C29" s="622" t="s">
        <v>744</v>
      </c>
      <c r="D29" s="1562"/>
      <c r="E29" s="982">
        <f>+F25_IOL!E15</f>
        <v>2.2234343851288245</v>
      </c>
      <c r="F29" s="975">
        <f>+E29</f>
        <v>2.2234343851288245</v>
      </c>
      <c r="G29" s="1562"/>
      <c r="H29" s="619"/>
      <c r="I29" s="1562"/>
      <c r="J29" s="1562"/>
      <c r="K29" s="622"/>
    </row>
    <row r="30" spans="1:11" ht="28.5">
      <c r="A30" s="623" t="s">
        <v>23</v>
      </c>
      <c r="B30" s="472" t="s">
        <v>650</v>
      </c>
      <c r="C30" s="622" t="s">
        <v>744</v>
      </c>
      <c r="D30" s="1562"/>
      <c r="E30" s="982">
        <f>+F25_IOL!E16</f>
        <v>0.19441340000000001</v>
      </c>
      <c r="F30" s="975">
        <f>+E30</f>
        <v>0.19441340000000001</v>
      </c>
      <c r="G30" s="1562"/>
      <c r="H30" s="620"/>
      <c r="I30" s="1562"/>
      <c r="J30" s="1562"/>
      <c r="K30" s="621"/>
    </row>
    <row r="31" spans="1:11">
      <c r="A31" s="623" t="s">
        <v>24</v>
      </c>
      <c r="B31" s="606" t="s">
        <v>1426</v>
      </c>
      <c r="C31" s="625" t="s">
        <v>744</v>
      </c>
      <c r="D31" s="1562"/>
      <c r="E31" s="982">
        <f>+F25_IOL!E17</f>
        <v>2.5059999999999998E-6</v>
      </c>
      <c r="F31" s="975">
        <f>+E31</f>
        <v>2.5059999999999998E-6</v>
      </c>
      <c r="G31" s="1562"/>
      <c r="H31" s="620"/>
      <c r="I31" s="1562"/>
      <c r="J31" s="1562"/>
      <c r="K31" s="621"/>
    </row>
    <row r="32" spans="1:11">
      <c r="A32" s="623" t="s">
        <v>26</v>
      </c>
      <c r="B32" s="624" t="s">
        <v>331</v>
      </c>
      <c r="C32" s="622" t="s">
        <v>744</v>
      </c>
      <c r="D32" s="1562"/>
      <c r="E32" s="982">
        <f>+'F27_Work Cap'!E16</f>
        <v>0.24857762455103571</v>
      </c>
      <c r="F32" s="982">
        <f>+E32</f>
        <v>0.24857762455103571</v>
      </c>
      <c r="G32" s="1562"/>
      <c r="H32" s="619"/>
      <c r="I32" s="1562"/>
      <c r="J32" s="1562"/>
      <c r="K32" s="618"/>
    </row>
    <row r="33" spans="1:11">
      <c r="A33" s="623" t="s">
        <v>82</v>
      </c>
      <c r="B33" s="624" t="s">
        <v>1383</v>
      </c>
      <c r="C33" s="622" t="s">
        <v>744</v>
      </c>
      <c r="D33" s="1562"/>
      <c r="E33" s="983"/>
      <c r="F33" s="975"/>
      <c r="G33" s="1562"/>
      <c r="H33" s="620"/>
      <c r="I33" s="1562"/>
      <c r="J33" s="1562"/>
      <c r="K33" s="626"/>
    </row>
    <row r="34" spans="1:11">
      <c r="A34" s="623" t="s">
        <v>89</v>
      </c>
      <c r="B34" s="624" t="s">
        <v>25</v>
      </c>
      <c r="C34" s="622" t="s">
        <v>744</v>
      </c>
      <c r="D34" s="1562"/>
      <c r="E34" s="982"/>
      <c r="F34" s="975"/>
      <c r="G34" s="1562"/>
      <c r="H34" s="619"/>
      <c r="I34" s="1562"/>
      <c r="J34" s="1562"/>
      <c r="K34" s="618"/>
    </row>
    <row r="35" spans="1:11">
      <c r="A35" s="623" t="s">
        <v>487</v>
      </c>
      <c r="B35" s="624" t="s">
        <v>28</v>
      </c>
      <c r="C35" s="622" t="s">
        <v>744</v>
      </c>
      <c r="D35" s="1562"/>
      <c r="E35" s="615">
        <f>+F26_ROE!H13</f>
        <v>1.6616851788531815</v>
      </c>
      <c r="F35" s="615">
        <f>+E35</f>
        <v>1.6616851788531815</v>
      </c>
      <c r="G35" s="1562"/>
      <c r="H35" s="621"/>
      <c r="I35" s="1562"/>
      <c r="J35" s="1562"/>
      <c r="K35" s="621"/>
    </row>
    <row r="36" spans="1:11">
      <c r="A36" s="623" t="s">
        <v>488</v>
      </c>
      <c r="B36" s="624" t="s">
        <v>87</v>
      </c>
      <c r="C36" s="622" t="s">
        <v>744</v>
      </c>
      <c r="D36" s="1562"/>
      <c r="E36" s="615">
        <f>+'F29_Income Tax'!C23</f>
        <v>0</v>
      </c>
      <c r="F36" s="615">
        <f>+'F29_Income Tax'!D23</f>
        <v>0</v>
      </c>
      <c r="G36" s="1562"/>
      <c r="H36" s="621"/>
      <c r="I36" s="1562"/>
      <c r="J36" s="1562"/>
      <c r="K36" s="627"/>
    </row>
    <row r="37" spans="1:11">
      <c r="A37" s="628"/>
      <c r="B37" s="630" t="s">
        <v>606</v>
      </c>
      <c r="C37" s="974" t="s">
        <v>744</v>
      </c>
      <c r="D37" s="1562"/>
      <c r="E37" s="556">
        <f>SUM(E17:E36)-E27</f>
        <v>33.985600166679284</v>
      </c>
      <c r="F37" s="556">
        <f>SUM(F17:F36)-F27</f>
        <v>33.985600166679284</v>
      </c>
      <c r="G37" s="1562"/>
      <c r="H37" s="621"/>
      <c r="I37" s="1562"/>
      <c r="J37" s="1562"/>
      <c r="K37" s="627"/>
    </row>
    <row r="38" spans="1:11">
      <c r="A38" s="623"/>
      <c r="B38" s="629"/>
      <c r="C38" s="622"/>
      <c r="D38" s="1562"/>
      <c r="E38" s="615"/>
      <c r="F38" s="615"/>
      <c r="G38" s="1562"/>
      <c r="H38" s="621"/>
      <c r="I38" s="1562"/>
      <c r="J38" s="1562"/>
      <c r="K38" s="627"/>
    </row>
    <row r="39" spans="1:11">
      <c r="A39" s="623" t="s">
        <v>39</v>
      </c>
      <c r="B39" s="630" t="s">
        <v>323</v>
      </c>
      <c r="C39" s="622"/>
      <c r="D39" s="1562"/>
      <c r="E39" s="615"/>
      <c r="F39" s="615"/>
      <c r="G39" s="1562"/>
      <c r="H39" s="621"/>
      <c r="I39" s="1562"/>
      <c r="J39" s="1562"/>
      <c r="K39" s="627"/>
    </row>
    <row r="40" spans="1:11">
      <c r="A40" s="623" t="s">
        <v>15</v>
      </c>
      <c r="B40" s="624" t="s">
        <v>84</v>
      </c>
      <c r="C40" s="622" t="s">
        <v>744</v>
      </c>
      <c r="D40" s="1562"/>
      <c r="E40" s="615"/>
      <c r="F40" s="615"/>
      <c r="G40" s="1562"/>
      <c r="H40" s="621"/>
      <c r="I40" s="1562"/>
      <c r="J40" s="1562"/>
      <c r="K40" s="627"/>
    </row>
    <row r="41" spans="1:11">
      <c r="A41" s="623" t="s">
        <v>16</v>
      </c>
      <c r="B41" s="624" t="s">
        <v>88</v>
      </c>
      <c r="C41" s="622" t="s">
        <v>744</v>
      </c>
      <c r="D41" s="1562"/>
      <c r="E41" s="615">
        <f>+F28_NTI!D25</f>
        <v>0.23975478993670318</v>
      </c>
      <c r="F41" s="615">
        <f>+E41</f>
        <v>0.23975478993670318</v>
      </c>
      <c r="G41" s="1562"/>
      <c r="H41" s="621"/>
      <c r="I41" s="1562"/>
      <c r="J41" s="1562"/>
      <c r="K41" s="627"/>
    </row>
    <row r="42" spans="1:11">
      <c r="A42" s="623" t="s">
        <v>39</v>
      </c>
      <c r="B42" s="624" t="s">
        <v>320</v>
      </c>
      <c r="C42" s="622" t="s">
        <v>744</v>
      </c>
      <c r="D42" s="1562"/>
      <c r="E42" s="615"/>
      <c r="F42" s="615"/>
      <c r="G42" s="1562"/>
      <c r="H42" s="621"/>
      <c r="I42" s="1562"/>
      <c r="J42" s="1562"/>
      <c r="K42" s="627"/>
    </row>
    <row r="43" spans="1:11">
      <c r="A43" s="628"/>
      <c r="B43" s="630" t="s">
        <v>605</v>
      </c>
      <c r="C43" s="974" t="s">
        <v>744</v>
      </c>
      <c r="D43" s="1562"/>
      <c r="E43" s="556">
        <f>SUM(E40:E42)</f>
        <v>0.23975478993670318</v>
      </c>
      <c r="F43" s="556">
        <f>SUM(F40:F42)</f>
        <v>0.23975478993670318</v>
      </c>
      <c r="G43" s="1562"/>
      <c r="H43" s="621"/>
      <c r="I43" s="1562"/>
      <c r="J43" s="1562"/>
      <c r="K43" s="627"/>
    </row>
    <row r="44" spans="1:11" ht="28.5">
      <c r="A44" s="628" t="s">
        <v>40</v>
      </c>
      <c r="B44" s="631" t="s">
        <v>160</v>
      </c>
      <c r="C44" s="974" t="s">
        <v>744</v>
      </c>
      <c r="D44" s="1562"/>
      <c r="E44" s="556">
        <f>+E37-E43</f>
        <v>33.745845376742579</v>
      </c>
      <c r="F44" s="556">
        <f>+F37-F43</f>
        <v>33.745845376742579</v>
      </c>
      <c r="G44" s="1562"/>
      <c r="H44" s="621"/>
      <c r="I44" s="1562"/>
      <c r="J44" s="1562"/>
      <c r="K44" s="627"/>
    </row>
    <row r="45" spans="1:11">
      <c r="A45" s="632" t="s">
        <v>41</v>
      </c>
      <c r="B45" s="633" t="s">
        <v>161</v>
      </c>
      <c r="C45" s="622" t="s">
        <v>744</v>
      </c>
      <c r="D45" s="1562"/>
      <c r="E45" s="615">
        <f>+E14-E44</f>
        <v>-3.8439785039568122</v>
      </c>
      <c r="F45" s="615">
        <f>+F14-F44</f>
        <v>-3.8439785039568122</v>
      </c>
      <c r="G45" s="1562"/>
      <c r="H45" s="621"/>
      <c r="I45" s="1562"/>
      <c r="J45" s="1562"/>
      <c r="K45" s="627"/>
    </row>
    <row r="46" spans="1:11">
      <c r="A46" s="632" t="s">
        <v>42</v>
      </c>
      <c r="B46" s="624" t="s">
        <v>318</v>
      </c>
      <c r="C46" s="622" t="s">
        <v>744</v>
      </c>
      <c r="D46" s="1562"/>
      <c r="E46" s="615"/>
      <c r="F46" s="615"/>
      <c r="G46" s="1562"/>
      <c r="H46" s="621"/>
      <c r="I46" s="1562"/>
      <c r="J46" s="1562"/>
      <c r="K46" s="627"/>
    </row>
    <row r="47" spans="1:11">
      <c r="A47" s="628" t="s">
        <v>90</v>
      </c>
      <c r="B47" s="631" t="s">
        <v>162</v>
      </c>
      <c r="C47" s="622" t="s">
        <v>744</v>
      </c>
      <c r="D47" s="1562"/>
      <c r="E47" s="556">
        <f>+E45+E46</f>
        <v>-3.8439785039568122</v>
      </c>
      <c r="F47" s="556">
        <f>+F45+F46</f>
        <v>-3.8439785039568122</v>
      </c>
      <c r="G47" s="1562"/>
      <c r="H47" s="621"/>
      <c r="I47" s="1562"/>
      <c r="J47" s="1562"/>
      <c r="K47" s="627"/>
    </row>
    <row r="48" spans="1:11">
      <c r="A48" s="632" t="s">
        <v>91</v>
      </c>
      <c r="B48" s="634" t="s">
        <v>319</v>
      </c>
      <c r="C48" s="622" t="s">
        <v>744</v>
      </c>
      <c r="D48" s="1562"/>
      <c r="E48" s="615"/>
      <c r="F48" s="615"/>
      <c r="G48" s="1562"/>
      <c r="H48" s="621"/>
      <c r="I48" s="1562"/>
      <c r="J48" s="1562"/>
      <c r="K48" s="627"/>
    </row>
    <row r="49" spans="1:11">
      <c r="A49" s="628" t="s">
        <v>92</v>
      </c>
      <c r="B49" s="556" t="s">
        <v>604</v>
      </c>
      <c r="C49" s="622" t="s">
        <v>744</v>
      </c>
      <c r="D49" s="1563"/>
      <c r="E49" s="556">
        <f>+E47-E48</f>
        <v>-3.8439785039568122</v>
      </c>
      <c r="F49" s="556">
        <f>+F47-F48</f>
        <v>-3.8439785039568122</v>
      </c>
      <c r="G49" s="1563"/>
      <c r="H49" s="621"/>
      <c r="I49" s="1563"/>
      <c r="J49" s="1563"/>
      <c r="K49" s="627"/>
    </row>
    <row r="50" spans="1:11">
      <c r="A50" s="1555" t="s">
        <v>748</v>
      </c>
      <c r="B50" s="1556"/>
      <c r="C50" s="1556"/>
      <c r="D50" s="1556"/>
      <c r="E50" s="1556"/>
      <c r="F50" s="1556"/>
      <c r="G50" s="1556"/>
      <c r="H50" s="1556"/>
      <c r="I50" s="1556"/>
      <c r="J50" s="1556"/>
      <c r="K50" s="1557"/>
    </row>
    <row r="51" spans="1:11">
      <c r="A51" s="1521" t="s">
        <v>750</v>
      </c>
      <c r="B51" s="1521"/>
      <c r="C51" s="1521"/>
      <c r="D51" s="1521"/>
      <c r="E51" s="1521"/>
      <c r="F51" s="1521"/>
      <c r="G51" s="1521"/>
      <c r="H51" s="1521"/>
      <c r="I51" s="1521"/>
      <c r="J51" s="1521"/>
      <c r="K51" s="1521"/>
    </row>
    <row r="52" spans="1:11">
      <c r="A52" s="1518" t="s">
        <v>749</v>
      </c>
      <c r="B52" s="1522"/>
      <c r="C52" s="1522"/>
      <c r="D52" s="1522"/>
      <c r="E52" s="1522"/>
      <c r="F52" s="1522"/>
      <c r="G52" s="1522"/>
      <c r="H52" s="1522"/>
      <c r="I52" s="1522"/>
      <c r="J52" s="1522"/>
      <c r="K52" s="1523"/>
    </row>
    <row r="53" spans="1:11">
      <c r="A53" s="1518" t="s">
        <v>1412</v>
      </c>
      <c r="B53" s="1522"/>
      <c r="C53" s="1522"/>
      <c r="D53" s="1522"/>
      <c r="E53" s="1522"/>
      <c r="F53" s="1522"/>
      <c r="G53" s="1522"/>
      <c r="H53" s="1522"/>
      <c r="I53" s="1522"/>
      <c r="J53" s="1522"/>
      <c r="K53" s="1523"/>
    </row>
    <row r="54" spans="1:11">
      <c r="C54" s="213"/>
    </row>
    <row r="55" spans="1:11">
      <c r="C55" s="213"/>
    </row>
    <row r="57" spans="1:11">
      <c r="B57" s="591" t="s">
        <v>777</v>
      </c>
      <c r="C57" s="213"/>
    </row>
    <row r="58" spans="1:11" ht="57">
      <c r="B58" s="1558" t="s">
        <v>10</v>
      </c>
      <c r="C58" s="1558" t="s">
        <v>34</v>
      </c>
      <c r="D58" s="182" t="s">
        <v>717</v>
      </c>
      <c r="E58" s="182" t="s">
        <v>718</v>
      </c>
      <c r="F58" s="182" t="s">
        <v>338</v>
      </c>
      <c r="G58" s="182" t="s">
        <v>719</v>
      </c>
      <c r="H58" s="1558" t="s">
        <v>80</v>
      </c>
      <c r="I58" s="292" t="s">
        <v>775</v>
      </c>
      <c r="J58" s="182" t="s">
        <v>721</v>
      </c>
      <c r="K58" s="1558" t="s">
        <v>80</v>
      </c>
    </row>
    <row r="59" spans="1:11">
      <c r="B59" s="1559"/>
      <c r="C59" s="1559"/>
      <c r="D59" s="292" t="s">
        <v>722</v>
      </c>
      <c r="E59" s="292" t="s">
        <v>723</v>
      </c>
      <c r="F59" s="292" t="s">
        <v>724</v>
      </c>
      <c r="G59" s="1558" t="s">
        <v>725</v>
      </c>
      <c r="H59" s="1559"/>
      <c r="I59" s="390" t="s">
        <v>726</v>
      </c>
      <c r="J59" s="1558" t="s">
        <v>727</v>
      </c>
      <c r="K59" s="1559"/>
    </row>
    <row r="60" spans="1:11">
      <c r="B60" s="1560"/>
      <c r="C60" s="1560"/>
      <c r="D60" s="1553" t="s">
        <v>358</v>
      </c>
      <c r="E60" s="1553"/>
      <c r="F60" s="1553"/>
      <c r="G60" s="1560"/>
      <c r="H60" s="1560"/>
      <c r="I60" s="390" t="s">
        <v>350</v>
      </c>
      <c r="J60" s="1560"/>
      <c r="K60" s="1560"/>
    </row>
    <row r="61" spans="1:11">
      <c r="B61" s="293" t="s">
        <v>751</v>
      </c>
      <c r="C61" s="290" t="s">
        <v>744</v>
      </c>
      <c r="D61" s="1564" t="s">
        <v>2062</v>
      </c>
      <c r="E61" s="295">
        <v>0</v>
      </c>
      <c r="F61" s="294"/>
      <c r="G61" s="1564" t="s">
        <v>2062</v>
      </c>
      <c r="H61" s="296"/>
      <c r="I61" s="1564" t="s">
        <v>2062</v>
      </c>
      <c r="J61" s="1564" t="s">
        <v>2062</v>
      </c>
      <c r="K61" s="296"/>
    </row>
    <row r="62" spans="1:11">
      <c r="B62" s="64" t="s">
        <v>752</v>
      </c>
      <c r="C62" s="6" t="s">
        <v>744</v>
      </c>
      <c r="D62" s="1565"/>
      <c r="E62" s="295">
        <f>+F24_Dep!C51</f>
        <v>36.926337307848478</v>
      </c>
      <c r="F62" s="295"/>
      <c r="G62" s="1565"/>
      <c r="H62" s="296"/>
      <c r="I62" s="1565"/>
      <c r="J62" s="1565"/>
      <c r="K62" s="296"/>
    </row>
    <row r="63" spans="1:11">
      <c r="B63" s="64" t="s">
        <v>753</v>
      </c>
      <c r="C63" s="6" t="s">
        <v>744</v>
      </c>
      <c r="D63" s="1565"/>
      <c r="E63" s="295">
        <f>+F24_Dep!D51</f>
        <v>0</v>
      </c>
      <c r="F63" s="299"/>
      <c r="G63" s="1565"/>
      <c r="H63" s="296"/>
      <c r="I63" s="1565"/>
      <c r="J63" s="1565"/>
      <c r="K63" s="296"/>
    </row>
    <row r="64" spans="1:11">
      <c r="B64" s="64" t="s">
        <v>754</v>
      </c>
      <c r="C64" s="6" t="s">
        <v>744</v>
      </c>
      <c r="D64" s="1566"/>
      <c r="E64" s="294">
        <f>+E61+E62-E63</f>
        <v>36.926337307848478</v>
      </c>
      <c r="F64" s="295"/>
      <c r="G64" s="1566"/>
      <c r="H64" s="296"/>
      <c r="I64" s="1566"/>
      <c r="J64" s="1566"/>
      <c r="K64" s="296"/>
    </row>
    <row r="65" spans="2:14">
      <c r="B65" s="1518" t="s">
        <v>748</v>
      </c>
      <c r="C65" s="1522"/>
      <c r="D65" s="1522"/>
      <c r="E65" s="1522"/>
      <c r="F65" s="1522"/>
      <c r="G65" s="1522"/>
      <c r="H65" s="1522"/>
      <c r="I65" s="1522"/>
      <c r="J65" s="1522"/>
      <c r="K65" s="1523"/>
    </row>
    <row r="67" spans="2:14">
      <c r="B67" s="591" t="s">
        <v>778</v>
      </c>
      <c r="C67" s="213"/>
    </row>
    <row r="68" spans="2:14">
      <c r="B68" s="1530" t="s">
        <v>10</v>
      </c>
      <c r="C68" s="1531" t="s">
        <v>775</v>
      </c>
      <c r="D68" s="1531"/>
      <c r="E68" s="1531" t="s">
        <v>717</v>
      </c>
      <c r="F68" s="1531"/>
      <c r="G68" s="1530" t="s">
        <v>776</v>
      </c>
      <c r="H68" s="1530"/>
    </row>
    <row r="69" spans="2:14">
      <c r="B69" s="1530"/>
      <c r="C69" s="392" t="s">
        <v>548</v>
      </c>
      <c r="D69" s="392" t="s">
        <v>35</v>
      </c>
      <c r="E69" s="391" t="s">
        <v>548</v>
      </c>
      <c r="F69" s="391" t="s">
        <v>35</v>
      </c>
      <c r="G69" s="391" t="s">
        <v>548</v>
      </c>
      <c r="H69" s="391" t="s">
        <v>35</v>
      </c>
    </row>
    <row r="70" spans="2:14">
      <c r="B70" s="217" t="s">
        <v>755</v>
      </c>
      <c r="C70" s="298"/>
      <c r="D70" s="300">
        <v>1</v>
      </c>
      <c r="E70" s="294"/>
      <c r="F70" s="301">
        <v>1</v>
      </c>
      <c r="G70" s="294">
        <f>SUM(G71:G76)</f>
        <v>3.1162040363150689</v>
      </c>
      <c r="H70" s="301">
        <v>1</v>
      </c>
    </row>
    <row r="71" spans="2:14">
      <c r="B71" s="68" t="s">
        <v>756</v>
      </c>
      <c r="C71" s="1535" t="s">
        <v>2062</v>
      </c>
      <c r="D71" s="1536"/>
      <c r="E71" s="1536"/>
      <c r="F71" s="1537"/>
      <c r="G71" s="302">
        <f>+F22</f>
        <v>0</v>
      </c>
      <c r="H71" s="291">
        <f>+G71/G$70</f>
        <v>0</v>
      </c>
    </row>
    <row r="72" spans="2:14">
      <c r="B72" s="68" t="s">
        <v>757</v>
      </c>
      <c r="C72" s="1538"/>
      <c r="D72" s="1539"/>
      <c r="E72" s="1539"/>
      <c r="F72" s="1540"/>
      <c r="G72" s="302">
        <f>+F23</f>
        <v>3.1162040363150689</v>
      </c>
      <c r="H72" s="291">
        <f t="shared" ref="H72:H73" si="1">+G72/G$70</f>
        <v>1</v>
      </c>
    </row>
    <row r="73" spans="2:14">
      <c r="B73" s="68" t="s">
        <v>758</v>
      </c>
      <c r="C73" s="1538"/>
      <c r="D73" s="1539"/>
      <c r="E73" s="1539"/>
      <c r="F73" s="1540"/>
      <c r="G73" s="302">
        <f>+F21</f>
        <v>0</v>
      </c>
      <c r="H73" s="291">
        <f t="shared" si="1"/>
        <v>0</v>
      </c>
    </row>
    <row r="74" spans="2:14">
      <c r="B74" s="606" t="s">
        <v>1423</v>
      </c>
      <c r="C74" s="1538"/>
      <c r="D74" s="1539"/>
      <c r="E74" s="1539"/>
      <c r="F74" s="1540"/>
      <c r="G74" s="302"/>
      <c r="H74" s="291"/>
    </row>
    <row r="75" spans="2:14">
      <c r="B75" s="606" t="s">
        <v>1424</v>
      </c>
      <c r="C75" s="1538"/>
      <c r="D75" s="1539"/>
      <c r="E75" s="1539"/>
      <c r="F75" s="1540"/>
      <c r="G75" s="302"/>
      <c r="H75" s="291"/>
    </row>
    <row r="76" spans="2:14">
      <c r="B76" s="606" t="s">
        <v>1425</v>
      </c>
      <c r="C76" s="1541"/>
      <c r="D76" s="1542"/>
      <c r="E76" s="1542"/>
      <c r="F76" s="1543"/>
      <c r="G76" s="302"/>
      <c r="H76" s="291"/>
    </row>
    <row r="77" spans="2:14">
      <c r="C77" s="272" t="s">
        <v>748</v>
      </c>
      <c r="D77" s="272"/>
      <c r="E77" s="272"/>
      <c r="F77" s="272"/>
      <c r="G77" s="272"/>
      <c r="H77" s="272"/>
      <c r="I77" s="272"/>
    </row>
    <row r="79" spans="2:14">
      <c r="C79" s="153" t="s">
        <v>779</v>
      </c>
    </row>
    <row r="80" spans="2:14" ht="57">
      <c r="B80" s="280" t="s">
        <v>10</v>
      </c>
      <c r="C80" s="280" t="s">
        <v>354</v>
      </c>
      <c r="D80" s="182" t="s">
        <v>717</v>
      </c>
      <c r="E80" s="182" t="s">
        <v>776</v>
      </c>
      <c r="F80" s="280" t="s">
        <v>780</v>
      </c>
      <c r="H80" s="1524" t="s">
        <v>782</v>
      </c>
      <c r="I80" s="1524"/>
      <c r="J80" s="1524"/>
      <c r="K80" s="1524"/>
      <c r="L80" s="1524"/>
      <c r="M80" s="1524"/>
      <c r="N80" s="1524"/>
    </row>
    <row r="81" spans="2:14">
      <c r="B81" s="127" t="s">
        <v>759</v>
      </c>
      <c r="C81" s="24" t="s">
        <v>722</v>
      </c>
      <c r="D81" s="1532" t="s">
        <v>2062</v>
      </c>
      <c r="E81" s="281">
        <f>+'Energy Balance'!I8</f>
        <v>37.540040376137725</v>
      </c>
      <c r="F81" s="1532" t="s">
        <v>2062</v>
      </c>
      <c r="H81" s="1525" t="s">
        <v>783</v>
      </c>
      <c r="I81" s="1527" t="s">
        <v>784</v>
      </c>
      <c r="J81" s="1528"/>
      <c r="K81" s="1529"/>
      <c r="L81" s="1527" t="s">
        <v>776</v>
      </c>
      <c r="M81" s="1528"/>
      <c r="N81" s="1529"/>
    </row>
    <row r="82" spans="2:14" ht="28.5">
      <c r="B82" s="127" t="s">
        <v>760</v>
      </c>
      <c r="C82" s="24" t="s">
        <v>723</v>
      </c>
      <c r="D82" s="1533"/>
      <c r="E82" s="283">
        <f>+F10</f>
        <v>1.8706145291897115E-2</v>
      </c>
      <c r="F82" s="1533"/>
      <c r="H82" s="1526"/>
      <c r="I82" s="182" t="s">
        <v>684</v>
      </c>
      <c r="J82" s="182" t="s">
        <v>785</v>
      </c>
      <c r="K82" s="182" t="s">
        <v>786</v>
      </c>
      <c r="L82" s="182" t="s">
        <v>684</v>
      </c>
      <c r="M82" s="182" t="s">
        <v>785</v>
      </c>
      <c r="N82" s="182" t="s">
        <v>776</v>
      </c>
    </row>
    <row r="83" spans="2:14" ht="28.5">
      <c r="B83" s="127" t="s">
        <v>761</v>
      </c>
      <c r="C83" s="117" t="s">
        <v>762</v>
      </c>
      <c r="D83" s="1533"/>
      <c r="E83" s="295">
        <f>E81/(1-E82)</f>
        <v>38.255656240000036</v>
      </c>
      <c r="F83" s="1533"/>
      <c r="H83" s="324" t="s">
        <v>787</v>
      </c>
      <c r="I83" s="1544" t="s">
        <v>2062</v>
      </c>
      <c r="J83" s="1545"/>
      <c r="K83" s="1545"/>
      <c r="L83" s="1546"/>
      <c r="M83" s="675">
        <f>+[3]CAPEX!$D$19</f>
        <v>89.171416813000008</v>
      </c>
      <c r="N83" s="675">
        <f>+M83</f>
        <v>89.171416813000008</v>
      </c>
    </row>
    <row r="84" spans="2:14" ht="14.45" customHeight="1">
      <c r="B84" s="127" t="s">
        <v>763</v>
      </c>
      <c r="C84" s="24" t="s">
        <v>40</v>
      </c>
      <c r="D84" s="1533"/>
      <c r="E84" s="984">
        <f>+F1_PP_Annual!J236</f>
        <v>39.512142367279537</v>
      </c>
      <c r="F84" s="1533"/>
      <c r="H84" s="324" t="s">
        <v>729</v>
      </c>
      <c r="I84" s="1547"/>
      <c r="J84" s="1548"/>
      <c r="K84" s="1548"/>
      <c r="L84" s="1549"/>
      <c r="M84" s="196">
        <v>0</v>
      </c>
      <c r="N84" s="675">
        <f t="shared" ref="N84:N88" si="2">+M84</f>
        <v>0</v>
      </c>
    </row>
    <row r="85" spans="2:14" ht="28.5">
      <c r="B85" s="285" t="s">
        <v>764</v>
      </c>
      <c r="C85" s="24" t="s">
        <v>41</v>
      </c>
      <c r="D85" s="1533"/>
      <c r="E85" s="284">
        <v>0</v>
      </c>
      <c r="F85" s="1533"/>
      <c r="H85" s="324" t="s">
        <v>1177</v>
      </c>
      <c r="I85" s="1547"/>
      <c r="J85" s="1548"/>
      <c r="K85" s="1548"/>
      <c r="L85" s="1549"/>
      <c r="M85" s="196">
        <v>0</v>
      </c>
      <c r="N85" s="675">
        <f t="shared" si="2"/>
        <v>0</v>
      </c>
    </row>
    <row r="86" spans="2:14" ht="14.45" customHeight="1">
      <c r="B86" s="285" t="s">
        <v>765</v>
      </c>
      <c r="C86" s="24" t="s">
        <v>42</v>
      </c>
      <c r="D86" s="1533"/>
      <c r="E86" s="283">
        <f>+'F3_PP_Monthly 24-25'!L95</f>
        <v>3.1800000000000057E-2</v>
      </c>
      <c r="F86" s="1533"/>
      <c r="H86" s="324" t="s">
        <v>788</v>
      </c>
      <c r="I86" s="1547"/>
      <c r="J86" s="1548"/>
      <c r="K86" s="1548"/>
      <c r="L86" s="1549"/>
      <c r="M86" s="196">
        <v>0</v>
      </c>
      <c r="N86" s="675">
        <f t="shared" si="2"/>
        <v>0</v>
      </c>
    </row>
    <row r="87" spans="2:14" ht="14.45" customHeight="1">
      <c r="B87" s="285" t="s">
        <v>766</v>
      </c>
      <c r="C87" s="286" t="s">
        <v>767</v>
      </c>
      <c r="D87" s="1533"/>
      <c r="E87" s="281">
        <f>+E84*(1-E86)</f>
        <v>38.255656240000043</v>
      </c>
      <c r="F87" s="1533"/>
      <c r="H87" s="324" t="s">
        <v>789</v>
      </c>
      <c r="I87" s="1547"/>
      <c r="J87" s="1548"/>
      <c r="K87" s="1548"/>
      <c r="L87" s="1549"/>
      <c r="M87" s="196">
        <v>0</v>
      </c>
      <c r="N87" s="675">
        <f t="shared" si="2"/>
        <v>0</v>
      </c>
    </row>
    <row r="88" spans="2:14" ht="28.5">
      <c r="B88" s="285" t="s">
        <v>768</v>
      </c>
      <c r="C88" s="24" t="s">
        <v>91</v>
      </c>
      <c r="D88" s="1533"/>
      <c r="E88" s="281">
        <v>0</v>
      </c>
      <c r="F88" s="1533"/>
      <c r="H88" s="324" t="s">
        <v>730</v>
      </c>
      <c r="I88" s="1547"/>
      <c r="J88" s="1548"/>
      <c r="K88" s="1548"/>
      <c r="L88" s="1549"/>
      <c r="M88" s="675">
        <f>+[3]CAPEX!$D$51</f>
        <v>72.845440307848477</v>
      </c>
      <c r="N88" s="675">
        <f t="shared" si="2"/>
        <v>72.845440307848477</v>
      </c>
    </row>
    <row r="89" spans="2:14">
      <c r="B89" s="288" t="s">
        <v>769</v>
      </c>
      <c r="C89" s="33" t="s">
        <v>770</v>
      </c>
      <c r="D89" s="1533"/>
      <c r="E89" s="283">
        <v>0</v>
      </c>
      <c r="F89" s="1533"/>
      <c r="H89" s="324" t="s">
        <v>790</v>
      </c>
      <c r="I89" s="1547"/>
      <c r="J89" s="1548"/>
      <c r="K89" s="1548"/>
      <c r="L89" s="1549"/>
      <c r="M89" s="673">
        <f>+M83-M88</f>
        <v>16.32597650515153</v>
      </c>
      <c r="N89" s="673">
        <f>+N83-N88</f>
        <v>16.32597650515153</v>
      </c>
    </row>
    <row r="90" spans="2:14">
      <c r="B90" s="68" t="s">
        <v>771</v>
      </c>
      <c r="C90" s="24" t="s">
        <v>772</v>
      </c>
      <c r="D90" s="1533"/>
      <c r="E90" s="597">
        <f>+F13/E81*10</f>
        <v>7.9653262418419901</v>
      </c>
      <c r="F90" s="1533"/>
      <c r="H90" s="324" t="s">
        <v>791</v>
      </c>
      <c r="I90" s="1547"/>
      <c r="J90" s="1548"/>
      <c r="K90" s="1548"/>
      <c r="L90" s="1549"/>
      <c r="M90" s="196">
        <v>0</v>
      </c>
      <c r="N90" s="196">
        <v>0</v>
      </c>
    </row>
    <row r="91" spans="2:14" ht="14.45" customHeight="1">
      <c r="B91" s="68" t="s">
        <v>773</v>
      </c>
      <c r="C91" s="6" t="s">
        <v>772</v>
      </c>
      <c r="D91" s="1533"/>
      <c r="E91" s="597">
        <f>+F13/E81*10</f>
        <v>7.9653262418419901</v>
      </c>
      <c r="F91" s="1533"/>
      <c r="H91" s="324" t="s">
        <v>219</v>
      </c>
      <c r="I91" s="1547"/>
      <c r="J91" s="1548"/>
      <c r="K91" s="1548"/>
      <c r="L91" s="1549"/>
      <c r="M91" s="985">
        <f>+M88</f>
        <v>72.845440307848477</v>
      </c>
      <c r="N91" s="985">
        <f>+N88</f>
        <v>72.845440307848477</v>
      </c>
    </row>
    <row r="92" spans="2:14" ht="14.45" customHeight="1">
      <c r="B92" s="196" t="s">
        <v>774</v>
      </c>
      <c r="C92" s="6" t="s">
        <v>772</v>
      </c>
      <c r="D92" s="1534"/>
      <c r="E92" s="597">
        <f>+(F44/E81*10)</f>
        <v>8.989293841621194</v>
      </c>
      <c r="F92" s="1534"/>
      <c r="H92" s="324" t="s">
        <v>324</v>
      </c>
      <c r="I92" s="1547"/>
      <c r="J92" s="1548"/>
      <c r="K92" s="1548"/>
      <c r="L92" s="1549"/>
      <c r="M92" s="196">
        <v>0</v>
      </c>
      <c r="N92" s="196">
        <v>0</v>
      </c>
    </row>
    <row r="93" spans="2:14">
      <c r="B93" s="1521" t="s">
        <v>748</v>
      </c>
      <c r="C93" s="1521"/>
      <c r="D93" s="1521"/>
      <c r="E93" s="1521"/>
      <c r="F93" s="1521"/>
      <c r="G93" s="1521"/>
      <c r="H93" s="324" t="s">
        <v>792</v>
      </c>
      <c r="I93" s="1547"/>
      <c r="J93" s="1548"/>
      <c r="K93" s="1548"/>
      <c r="L93" s="1549"/>
      <c r="M93" s="673">
        <f>+M90+M91-M92</f>
        <v>72.845440307848477</v>
      </c>
      <c r="N93" s="673">
        <f>+N90+N91-N92</f>
        <v>72.845440307848477</v>
      </c>
    </row>
    <row r="94" spans="2:14">
      <c r="H94" s="324" t="s">
        <v>793</v>
      </c>
      <c r="I94" s="1547"/>
      <c r="J94" s="1548"/>
      <c r="K94" s="1548"/>
      <c r="L94" s="1549"/>
      <c r="M94" s="675">
        <f>+F24_Dep!G47</f>
        <v>3.324725023731169</v>
      </c>
      <c r="N94" s="985">
        <f>+M94</f>
        <v>3.324725023731169</v>
      </c>
    </row>
    <row r="95" spans="2:14" ht="14.45" customHeight="1">
      <c r="H95" s="324" t="s">
        <v>794</v>
      </c>
      <c r="I95" s="1550"/>
      <c r="J95" s="1551"/>
      <c r="K95" s="1551"/>
      <c r="L95" s="1552"/>
      <c r="M95" s="675">
        <f>+F24_Dep!G51</f>
        <v>1.631878364731169</v>
      </c>
      <c r="N95" s="985">
        <f>+M95</f>
        <v>1.631878364731169</v>
      </c>
    </row>
    <row r="96" spans="2:14">
      <c r="H96" s="1518" t="s">
        <v>748</v>
      </c>
      <c r="I96" s="1519"/>
      <c r="J96" s="1519"/>
      <c r="K96" s="1519"/>
      <c r="L96" s="1519"/>
      <c r="M96" s="1519"/>
      <c r="N96" s="1520"/>
    </row>
  </sheetData>
  <mergeCells count="46">
    <mergeCell ref="D8:D49"/>
    <mergeCell ref="G8:G49"/>
    <mergeCell ref="I8:I49"/>
    <mergeCell ref="J8:J49"/>
    <mergeCell ref="D61:D64"/>
    <mergeCell ref="G61:G64"/>
    <mergeCell ref="I61:I64"/>
    <mergeCell ref="J61:J64"/>
    <mergeCell ref="A4:A7"/>
    <mergeCell ref="A50:K50"/>
    <mergeCell ref="A51:K51"/>
    <mergeCell ref="A52:K52"/>
    <mergeCell ref="H58:H60"/>
    <mergeCell ref="J5:J7"/>
    <mergeCell ref="D7:F7"/>
    <mergeCell ref="J59:J60"/>
    <mergeCell ref="K58:K60"/>
    <mergeCell ref="B58:B60"/>
    <mergeCell ref="C58:C60"/>
    <mergeCell ref="D60:F60"/>
    <mergeCell ref="G59:G60"/>
    <mergeCell ref="A53:K53"/>
    <mergeCell ref="B4:B7"/>
    <mergeCell ref="C4:C7"/>
    <mergeCell ref="H4:H7"/>
    <mergeCell ref="K4:K7"/>
    <mergeCell ref="D5:D6"/>
    <mergeCell ref="E5:E6"/>
    <mergeCell ref="F5:F6"/>
    <mergeCell ref="G5:G7"/>
    <mergeCell ref="I5:I6"/>
    <mergeCell ref="H96:N96"/>
    <mergeCell ref="B93:G93"/>
    <mergeCell ref="B65:K65"/>
    <mergeCell ref="H80:N80"/>
    <mergeCell ref="H81:H82"/>
    <mergeCell ref="I81:K81"/>
    <mergeCell ref="L81:N81"/>
    <mergeCell ref="B68:B69"/>
    <mergeCell ref="C68:D68"/>
    <mergeCell ref="E68:F68"/>
    <mergeCell ref="G68:H68"/>
    <mergeCell ref="D81:D92"/>
    <mergeCell ref="C71:F76"/>
    <mergeCell ref="F81:F92"/>
    <mergeCell ref="I83:L95"/>
  </mergeCells>
  <printOptions horizontalCentered="1"/>
  <pageMargins left="0.31496062992125984" right="0.31496062992125984" top="0.35433070866141736" bottom="0.35433070866141736" header="0.31496062992125984" footer="0.31496062992125984"/>
  <pageSetup paperSize="5" scale="79" fitToHeight="3" orientation="landscape" r:id="rId1"/>
  <rowBreaks count="1" manualBreakCount="1">
    <brk id="78" max="1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tabColor rgb="FF00FFFF"/>
    <pageSetUpPr fitToPage="1"/>
  </sheetPr>
  <dimension ref="A1:I27"/>
  <sheetViews>
    <sheetView topLeftCell="A2" zoomScale="90" zoomScaleNormal="90" zoomScaleSheetLayoutView="100" workbookViewId="0">
      <selection activeCell="F9" sqref="F9"/>
    </sheetView>
  </sheetViews>
  <sheetFormatPr defaultRowHeight="14.25"/>
  <cols>
    <col min="1" max="1" width="6" style="3" customWidth="1"/>
    <col min="2" max="2" width="34.53125" style="73" customWidth="1"/>
    <col min="3" max="5" width="13.19921875" style="3" customWidth="1"/>
    <col min="6" max="6" width="13.19921875" style="3" bestFit="1" customWidth="1"/>
    <col min="7" max="7" width="11.796875" style="3" customWidth="1"/>
    <col min="8" max="8" width="7.46484375" style="3" bestFit="1" customWidth="1"/>
    <col min="9" max="250" width="9.19921875" style="3"/>
    <col min="251" max="251" width="5.19921875" style="3" customWidth="1"/>
    <col min="252" max="252" width="24.796875" style="3" customWidth="1"/>
    <col min="253" max="253" width="9.19921875" style="3"/>
    <col min="254" max="254" width="9.19921875" style="3" customWidth="1"/>
    <col min="255" max="255" width="7.796875" style="3" customWidth="1"/>
    <col min="256" max="256" width="9.19921875" style="3"/>
    <col min="257" max="257" width="8.19921875" style="3" customWidth="1"/>
    <col min="258" max="258" width="10.19921875" style="3" customWidth="1"/>
    <col min="259" max="259" width="6.53125" style="3" customWidth="1"/>
    <col min="260" max="260" width="7.46484375" style="3" customWidth="1"/>
    <col min="261" max="261" width="7.53125" style="3" customWidth="1"/>
    <col min="262" max="262" width="7.19921875" style="3" customWidth="1"/>
    <col min="263" max="263" width="9.19921875" style="3"/>
    <col min="264" max="264" width="8.46484375" style="3" customWidth="1"/>
    <col min="265" max="506" width="9.19921875" style="3"/>
    <col min="507" max="507" width="5.19921875" style="3" customWidth="1"/>
    <col min="508" max="508" width="24.796875" style="3" customWidth="1"/>
    <col min="509" max="509" width="9.19921875" style="3"/>
    <col min="510" max="510" width="9.19921875" style="3" customWidth="1"/>
    <col min="511" max="511" width="7.796875" style="3" customWidth="1"/>
    <col min="512" max="512" width="9.19921875" style="3"/>
    <col min="513" max="513" width="8.19921875" style="3" customWidth="1"/>
    <col min="514" max="514" width="10.19921875" style="3" customWidth="1"/>
    <col min="515" max="515" width="6.53125" style="3" customWidth="1"/>
    <col min="516" max="516" width="7.46484375" style="3" customWidth="1"/>
    <col min="517" max="517" width="7.53125" style="3" customWidth="1"/>
    <col min="518" max="518" width="7.19921875" style="3" customWidth="1"/>
    <col min="519" max="519" width="9.19921875" style="3"/>
    <col min="520" max="520" width="8.46484375" style="3" customWidth="1"/>
    <col min="521" max="762" width="9.19921875" style="3"/>
    <col min="763" max="763" width="5.19921875" style="3" customWidth="1"/>
    <col min="764" max="764" width="24.796875" style="3" customWidth="1"/>
    <col min="765" max="765" width="9.19921875" style="3"/>
    <col min="766" max="766" width="9.19921875" style="3" customWidth="1"/>
    <col min="767" max="767" width="7.796875" style="3" customWidth="1"/>
    <col min="768" max="768" width="9.19921875" style="3"/>
    <col min="769" max="769" width="8.19921875" style="3" customWidth="1"/>
    <col min="770" max="770" width="10.19921875" style="3" customWidth="1"/>
    <col min="771" max="771" width="6.53125" style="3" customWidth="1"/>
    <col min="772" max="772" width="7.46484375" style="3" customWidth="1"/>
    <col min="773" max="773" width="7.53125" style="3" customWidth="1"/>
    <col min="774" max="774" width="7.19921875" style="3" customWidth="1"/>
    <col min="775" max="775" width="9.19921875" style="3"/>
    <col min="776" max="776" width="8.46484375" style="3" customWidth="1"/>
    <col min="777" max="1018" width="9.19921875" style="3"/>
    <col min="1019" max="1019" width="5.19921875" style="3" customWidth="1"/>
    <col min="1020" max="1020" width="24.796875" style="3" customWidth="1"/>
    <col min="1021" max="1021" width="9.19921875" style="3"/>
    <col min="1022" max="1022" width="9.19921875" style="3" customWidth="1"/>
    <col min="1023" max="1023" width="7.796875" style="3" customWidth="1"/>
    <col min="1024" max="1024" width="9.19921875" style="3"/>
    <col min="1025" max="1025" width="8.19921875" style="3" customWidth="1"/>
    <col min="1026" max="1026" width="10.19921875" style="3" customWidth="1"/>
    <col min="1027" max="1027" width="6.53125" style="3" customWidth="1"/>
    <col min="1028" max="1028" width="7.46484375" style="3" customWidth="1"/>
    <col min="1029" max="1029" width="7.53125" style="3" customWidth="1"/>
    <col min="1030" max="1030" width="7.19921875" style="3" customWidth="1"/>
    <col min="1031" max="1031" width="9.19921875" style="3"/>
    <col min="1032" max="1032" width="8.46484375" style="3" customWidth="1"/>
    <col min="1033" max="1274" width="9.19921875" style="3"/>
    <col min="1275" max="1275" width="5.19921875" style="3" customWidth="1"/>
    <col min="1276" max="1276" width="24.796875" style="3" customWidth="1"/>
    <col min="1277" max="1277" width="9.19921875" style="3"/>
    <col min="1278" max="1278" width="9.19921875" style="3" customWidth="1"/>
    <col min="1279" max="1279" width="7.796875" style="3" customWidth="1"/>
    <col min="1280" max="1280" width="9.19921875" style="3"/>
    <col min="1281" max="1281" width="8.19921875" style="3" customWidth="1"/>
    <col min="1282" max="1282" width="10.19921875" style="3" customWidth="1"/>
    <col min="1283" max="1283" width="6.53125" style="3" customWidth="1"/>
    <col min="1284" max="1284" width="7.46484375" style="3" customWidth="1"/>
    <col min="1285" max="1285" width="7.53125" style="3" customWidth="1"/>
    <col min="1286" max="1286" width="7.19921875" style="3" customWidth="1"/>
    <col min="1287" max="1287" width="9.19921875" style="3"/>
    <col min="1288" max="1288" width="8.46484375" style="3" customWidth="1"/>
    <col min="1289" max="1530" width="9.19921875" style="3"/>
    <col min="1531" max="1531" width="5.19921875" style="3" customWidth="1"/>
    <col min="1532" max="1532" width="24.796875" style="3" customWidth="1"/>
    <col min="1533" max="1533" width="9.19921875" style="3"/>
    <col min="1534" max="1534" width="9.19921875" style="3" customWidth="1"/>
    <col min="1535" max="1535" width="7.796875" style="3" customWidth="1"/>
    <col min="1536" max="1536" width="9.19921875" style="3"/>
    <col min="1537" max="1537" width="8.19921875" style="3" customWidth="1"/>
    <col min="1538" max="1538" width="10.19921875" style="3" customWidth="1"/>
    <col min="1539" max="1539" width="6.53125" style="3" customWidth="1"/>
    <col min="1540" max="1540" width="7.46484375" style="3" customWidth="1"/>
    <col min="1541" max="1541" width="7.53125" style="3" customWidth="1"/>
    <col min="1542" max="1542" width="7.19921875" style="3" customWidth="1"/>
    <col min="1543" max="1543" width="9.19921875" style="3"/>
    <col min="1544" max="1544" width="8.46484375" style="3" customWidth="1"/>
    <col min="1545" max="1786" width="9.19921875" style="3"/>
    <col min="1787" max="1787" width="5.19921875" style="3" customWidth="1"/>
    <col min="1788" max="1788" width="24.796875" style="3" customWidth="1"/>
    <col min="1789" max="1789" width="9.19921875" style="3"/>
    <col min="1790" max="1790" width="9.19921875" style="3" customWidth="1"/>
    <col min="1791" max="1791" width="7.796875" style="3" customWidth="1"/>
    <col min="1792" max="1792" width="9.19921875" style="3"/>
    <col min="1793" max="1793" width="8.19921875" style="3" customWidth="1"/>
    <col min="1794" max="1794" width="10.19921875" style="3" customWidth="1"/>
    <col min="1795" max="1795" width="6.53125" style="3" customWidth="1"/>
    <col min="1796" max="1796" width="7.46484375" style="3" customWidth="1"/>
    <col min="1797" max="1797" width="7.53125" style="3" customWidth="1"/>
    <col min="1798" max="1798" width="7.19921875" style="3" customWidth="1"/>
    <col min="1799" max="1799" width="9.19921875" style="3"/>
    <col min="1800" max="1800" width="8.46484375" style="3" customWidth="1"/>
    <col min="1801" max="2042" width="9.19921875" style="3"/>
    <col min="2043" max="2043" width="5.19921875" style="3" customWidth="1"/>
    <col min="2044" max="2044" width="24.796875" style="3" customWidth="1"/>
    <col min="2045" max="2045" width="9.19921875" style="3"/>
    <col min="2046" max="2046" width="9.19921875" style="3" customWidth="1"/>
    <col min="2047" max="2047" width="7.796875" style="3" customWidth="1"/>
    <col min="2048" max="2048" width="9.19921875" style="3"/>
    <col min="2049" max="2049" width="8.19921875" style="3" customWidth="1"/>
    <col min="2050" max="2050" width="10.19921875" style="3" customWidth="1"/>
    <col min="2051" max="2051" width="6.53125" style="3" customWidth="1"/>
    <col min="2052" max="2052" width="7.46484375" style="3" customWidth="1"/>
    <col min="2053" max="2053" width="7.53125" style="3" customWidth="1"/>
    <col min="2054" max="2054" width="7.19921875" style="3" customWidth="1"/>
    <col min="2055" max="2055" width="9.19921875" style="3"/>
    <col min="2056" max="2056" width="8.46484375" style="3" customWidth="1"/>
    <col min="2057" max="2298" width="9.19921875" style="3"/>
    <col min="2299" max="2299" width="5.19921875" style="3" customWidth="1"/>
    <col min="2300" max="2300" width="24.796875" style="3" customWidth="1"/>
    <col min="2301" max="2301" width="9.19921875" style="3"/>
    <col min="2302" max="2302" width="9.19921875" style="3" customWidth="1"/>
    <col min="2303" max="2303" width="7.796875" style="3" customWidth="1"/>
    <col min="2304" max="2304" width="9.19921875" style="3"/>
    <col min="2305" max="2305" width="8.19921875" style="3" customWidth="1"/>
    <col min="2306" max="2306" width="10.19921875" style="3" customWidth="1"/>
    <col min="2307" max="2307" width="6.53125" style="3" customWidth="1"/>
    <col min="2308" max="2308" width="7.46484375" style="3" customWidth="1"/>
    <col min="2309" max="2309" width="7.53125" style="3" customWidth="1"/>
    <col min="2310" max="2310" width="7.19921875" style="3" customWidth="1"/>
    <col min="2311" max="2311" width="9.19921875" style="3"/>
    <col min="2312" max="2312" width="8.46484375" style="3" customWidth="1"/>
    <col min="2313" max="2554" width="9.19921875" style="3"/>
    <col min="2555" max="2555" width="5.19921875" style="3" customWidth="1"/>
    <col min="2556" max="2556" width="24.796875" style="3" customWidth="1"/>
    <col min="2557" max="2557" width="9.19921875" style="3"/>
    <col min="2558" max="2558" width="9.19921875" style="3" customWidth="1"/>
    <col min="2559" max="2559" width="7.796875" style="3" customWidth="1"/>
    <col min="2560" max="2560" width="9.19921875" style="3"/>
    <col min="2561" max="2561" width="8.19921875" style="3" customWidth="1"/>
    <col min="2562" max="2562" width="10.19921875" style="3" customWidth="1"/>
    <col min="2563" max="2563" width="6.53125" style="3" customWidth="1"/>
    <col min="2564" max="2564" width="7.46484375" style="3" customWidth="1"/>
    <col min="2565" max="2565" width="7.53125" style="3" customWidth="1"/>
    <col min="2566" max="2566" width="7.19921875" style="3" customWidth="1"/>
    <col min="2567" max="2567" width="9.19921875" style="3"/>
    <col min="2568" max="2568" width="8.46484375" style="3" customWidth="1"/>
    <col min="2569" max="2810" width="9.19921875" style="3"/>
    <col min="2811" max="2811" width="5.19921875" style="3" customWidth="1"/>
    <col min="2812" max="2812" width="24.796875" style="3" customWidth="1"/>
    <col min="2813" max="2813" width="9.19921875" style="3"/>
    <col min="2814" max="2814" width="9.19921875" style="3" customWidth="1"/>
    <col min="2815" max="2815" width="7.796875" style="3" customWidth="1"/>
    <col min="2816" max="2816" width="9.19921875" style="3"/>
    <col min="2817" max="2817" width="8.19921875" style="3" customWidth="1"/>
    <col min="2818" max="2818" width="10.19921875" style="3" customWidth="1"/>
    <col min="2819" max="2819" width="6.53125" style="3" customWidth="1"/>
    <col min="2820" max="2820" width="7.46484375" style="3" customWidth="1"/>
    <col min="2821" max="2821" width="7.53125" style="3" customWidth="1"/>
    <col min="2822" max="2822" width="7.19921875" style="3" customWidth="1"/>
    <col min="2823" max="2823" width="9.19921875" style="3"/>
    <col min="2824" max="2824" width="8.46484375" style="3" customWidth="1"/>
    <col min="2825" max="3066" width="9.19921875" style="3"/>
    <col min="3067" max="3067" width="5.19921875" style="3" customWidth="1"/>
    <col min="3068" max="3068" width="24.796875" style="3" customWidth="1"/>
    <col min="3069" max="3069" width="9.19921875" style="3"/>
    <col min="3070" max="3070" width="9.19921875" style="3" customWidth="1"/>
    <col min="3071" max="3071" width="7.796875" style="3" customWidth="1"/>
    <col min="3072" max="3072" width="9.19921875" style="3"/>
    <col min="3073" max="3073" width="8.19921875" style="3" customWidth="1"/>
    <col min="3074" max="3074" width="10.19921875" style="3" customWidth="1"/>
    <col min="3075" max="3075" width="6.53125" style="3" customWidth="1"/>
    <col min="3076" max="3076" width="7.46484375" style="3" customWidth="1"/>
    <col min="3077" max="3077" width="7.53125" style="3" customWidth="1"/>
    <col min="3078" max="3078" width="7.19921875" style="3" customWidth="1"/>
    <col min="3079" max="3079" width="9.19921875" style="3"/>
    <col min="3080" max="3080" width="8.46484375" style="3" customWidth="1"/>
    <col min="3081" max="3322" width="9.19921875" style="3"/>
    <col min="3323" max="3323" width="5.19921875" style="3" customWidth="1"/>
    <col min="3324" max="3324" width="24.796875" style="3" customWidth="1"/>
    <col min="3325" max="3325" width="9.19921875" style="3"/>
    <col min="3326" max="3326" width="9.19921875" style="3" customWidth="1"/>
    <col min="3327" max="3327" width="7.796875" style="3" customWidth="1"/>
    <col min="3328" max="3328" width="9.19921875" style="3"/>
    <col min="3329" max="3329" width="8.19921875" style="3" customWidth="1"/>
    <col min="3330" max="3330" width="10.19921875" style="3" customWidth="1"/>
    <col min="3331" max="3331" width="6.53125" style="3" customWidth="1"/>
    <col min="3332" max="3332" width="7.46484375" style="3" customWidth="1"/>
    <col min="3333" max="3333" width="7.53125" style="3" customWidth="1"/>
    <col min="3334" max="3334" width="7.19921875" style="3" customWidth="1"/>
    <col min="3335" max="3335" width="9.19921875" style="3"/>
    <col min="3336" max="3336" width="8.46484375" style="3" customWidth="1"/>
    <col min="3337" max="3578" width="9.19921875" style="3"/>
    <col min="3579" max="3579" width="5.19921875" style="3" customWidth="1"/>
    <col min="3580" max="3580" width="24.796875" style="3" customWidth="1"/>
    <col min="3581" max="3581" width="9.19921875" style="3"/>
    <col min="3582" max="3582" width="9.19921875" style="3" customWidth="1"/>
    <col min="3583" max="3583" width="7.796875" style="3" customWidth="1"/>
    <col min="3584" max="3584" width="9.19921875" style="3"/>
    <col min="3585" max="3585" width="8.19921875" style="3" customWidth="1"/>
    <col min="3586" max="3586" width="10.19921875" style="3" customWidth="1"/>
    <col min="3587" max="3587" width="6.53125" style="3" customWidth="1"/>
    <col min="3588" max="3588" width="7.46484375" style="3" customWidth="1"/>
    <col min="3589" max="3589" width="7.53125" style="3" customWidth="1"/>
    <col min="3590" max="3590" width="7.19921875" style="3" customWidth="1"/>
    <col min="3591" max="3591" width="9.19921875" style="3"/>
    <col min="3592" max="3592" width="8.46484375" style="3" customWidth="1"/>
    <col min="3593" max="3834" width="9.19921875" style="3"/>
    <col min="3835" max="3835" width="5.19921875" style="3" customWidth="1"/>
    <col min="3836" max="3836" width="24.796875" style="3" customWidth="1"/>
    <col min="3837" max="3837" width="9.19921875" style="3"/>
    <col min="3838" max="3838" width="9.19921875" style="3" customWidth="1"/>
    <col min="3839" max="3839" width="7.796875" style="3" customWidth="1"/>
    <col min="3840" max="3840" width="9.19921875" style="3"/>
    <col min="3841" max="3841" width="8.19921875" style="3" customWidth="1"/>
    <col min="3842" max="3842" width="10.19921875" style="3" customWidth="1"/>
    <col min="3843" max="3843" width="6.53125" style="3" customWidth="1"/>
    <col min="3844" max="3844" width="7.46484375" style="3" customWidth="1"/>
    <col min="3845" max="3845" width="7.53125" style="3" customWidth="1"/>
    <col min="3846" max="3846" width="7.19921875" style="3" customWidth="1"/>
    <col min="3847" max="3847" width="9.19921875" style="3"/>
    <col min="3848" max="3848" width="8.46484375" style="3" customWidth="1"/>
    <col min="3849" max="4090" width="9.19921875" style="3"/>
    <col min="4091" max="4091" width="5.19921875" style="3" customWidth="1"/>
    <col min="4092" max="4092" width="24.796875" style="3" customWidth="1"/>
    <col min="4093" max="4093" width="9.19921875" style="3"/>
    <col min="4094" max="4094" width="9.19921875" style="3" customWidth="1"/>
    <col min="4095" max="4095" width="7.796875" style="3" customWidth="1"/>
    <col min="4096" max="4096" width="9.19921875" style="3"/>
    <col min="4097" max="4097" width="8.19921875" style="3" customWidth="1"/>
    <col min="4098" max="4098" width="10.19921875" style="3" customWidth="1"/>
    <col min="4099" max="4099" width="6.53125" style="3" customWidth="1"/>
    <col min="4100" max="4100" width="7.46484375" style="3" customWidth="1"/>
    <col min="4101" max="4101" width="7.53125" style="3" customWidth="1"/>
    <col min="4102" max="4102" width="7.19921875" style="3" customWidth="1"/>
    <col min="4103" max="4103" width="9.19921875" style="3"/>
    <col min="4104" max="4104" width="8.46484375" style="3" customWidth="1"/>
    <col min="4105" max="4346" width="9.19921875" style="3"/>
    <col min="4347" max="4347" width="5.19921875" style="3" customWidth="1"/>
    <col min="4348" max="4348" width="24.796875" style="3" customWidth="1"/>
    <col min="4349" max="4349" width="9.19921875" style="3"/>
    <col min="4350" max="4350" width="9.19921875" style="3" customWidth="1"/>
    <col min="4351" max="4351" width="7.796875" style="3" customWidth="1"/>
    <col min="4352" max="4352" width="9.19921875" style="3"/>
    <col min="4353" max="4353" width="8.19921875" style="3" customWidth="1"/>
    <col min="4354" max="4354" width="10.19921875" style="3" customWidth="1"/>
    <col min="4355" max="4355" width="6.53125" style="3" customWidth="1"/>
    <col min="4356" max="4356" width="7.46484375" style="3" customWidth="1"/>
    <col min="4357" max="4357" width="7.53125" style="3" customWidth="1"/>
    <col min="4358" max="4358" width="7.19921875" style="3" customWidth="1"/>
    <col min="4359" max="4359" width="9.19921875" style="3"/>
    <col min="4360" max="4360" width="8.46484375" style="3" customWidth="1"/>
    <col min="4361" max="4602" width="9.19921875" style="3"/>
    <col min="4603" max="4603" width="5.19921875" style="3" customWidth="1"/>
    <col min="4604" max="4604" width="24.796875" style="3" customWidth="1"/>
    <col min="4605" max="4605" width="9.19921875" style="3"/>
    <col min="4606" max="4606" width="9.19921875" style="3" customWidth="1"/>
    <col min="4607" max="4607" width="7.796875" style="3" customWidth="1"/>
    <col min="4608" max="4608" width="9.19921875" style="3"/>
    <col min="4609" max="4609" width="8.19921875" style="3" customWidth="1"/>
    <col min="4610" max="4610" width="10.19921875" style="3" customWidth="1"/>
    <col min="4611" max="4611" width="6.53125" style="3" customWidth="1"/>
    <col min="4612" max="4612" width="7.46484375" style="3" customWidth="1"/>
    <col min="4613" max="4613" width="7.53125" style="3" customWidth="1"/>
    <col min="4614" max="4614" width="7.19921875" style="3" customWidth="1"/>
    <col min="4615" max="4615" width="9.19921875" style="3"/>
    <col min="4616" max="4616" width="8.46484375" style="3" customWidth="1"/>
    <col min="4617" max="4858" width="9.19921875" style="3"/>
    <col min="4859" max="4859" width="5.19921875" style="3" customWidth="1"/>
    <col min="4860" max="4860" width="24.796875" style="3" customWidth="1"/>
    <col min="4861" max="4861" width="9.19921875" style="3"/>
    <col min="4862" max="4862" width="9.19921875" style="3" customWidth="1"/>
    <col min="4863" max="4863" width="7.796875" style="3" customWidth="1"/>
    <col min="4864" max="4864" width="9.19921875" style="3"/>
    <col min="4865" max="4865" width="8.19921875" style="3" customWidth="1"/>
    <col min="4866" max="4866" width="10.19921875" style="3" customWidth="1"/>
    <col min="4867" max="4867" width="6.53125" style="3" customWidth="1"/>
    <col min="4868" max="4868" width="7.46484375" style="3" customWidth="1"/>
    <col min="4869" max="4869" width="7.53125" style="3" customWidth="1"/>
    <col min="4870" max="4870" width="7.19921875" style="3" customWidth="1"/>
    <col min="4871" max="4871" width="9.19921875" style="3"/>
    <col min="4872" max="4872" width="8.46484375" style="3" customWidth="1"/>
    <col min="4873" max="5114" width="9.19921875" style="3"/>
    <col min="5115" max="5115" width="5.19921875" style="3" customWidth="1"/>
    <col min="5116" max="5116" width="24.796875" style="3" customWidth="1"/>
    <col min="5117" max="5117" width="9.19921875" style="3"/>
    <col min="5118" max="5118" width="9.19921875" style="3" customWidth="1"/>
    <col min="5119" max="5119" width="7.796875" style="3" customWidth="1"/>
    <col min="5120" max="5120" width="9.19921875" style="3"/>
    <col min="5121" max="5121" width="8.19921875" style="3" customWidth="1"/>
    <col min="5122" max="5122" width="10.19921875" style="3" customWidth="1"/>
    <col min="5123" max="5123" width="6.53125" style="3" customWidth="1"/>
    <col min="5124" max="5124" width="7.46484375" style="3" customWidth="1"/>
    <col min="5125" max="5125" width="7.53125" style="3" customWidth="1"/>
    <col min="5126" max="5126" width="7.19921875" style="3" customWidth="1"/>
    <col min="5127" max="5127" width="9.19921875" style="3"/>
    <col min="5128" max="5128" width="8.46484375" style="3" customWidth="1"/>
    <col min="5129" max="5370" width="9.19921875" style="3"/>
    <col min="5371" max="5371" width="5.19921875" style="3" customWidth="1"/>
    <col min="5372" max="5372" width="24.796875" style="3" customWidth="1"/>
    <col min="5373" max="5373" width="9.19921875" style="3"/>
    <col min="5374" max="5374" width="9.19921875" style="3" customWidth="1"/>
    <col min="5375" max="5375" width="7.796875" style="3" customWidth="1"/>
    <col min="5376" max="5376" width="9.19921875" style="3"/>
    <col min="5377" max="5377" width="8.19921875" style="3" customWidth="1"/>
    <col min="5378" max="5378" width="10.19921875" style="3" customWidth="1"/>
    <col min="5379" max="5379" width="6.53125" style="3" customWidth="1"/>
    <col min="5380" max="5380" width="7.46484375" style="3" customWidth="1"/>
    <col min="5381" max="5381" width="7.53125" style="3" customWidth="1"/>
    <col min="5382" max="5382" width="7.19921875" style="3" customWidth="1"/>
    <col min="5383" max="5383" width="9.19921875" style="3"/>
    <col min="5384" max="5384" width="8.46484375" style="3" customWidth="1"/>
    <col min="5385" max="5626" width="9.19921875" style="3"/>
    <col min="5627" max="5627" width="5.19921875" style="3" customWidth="1"/>
    <col min="5628" max="5628" width="24.796875" style="3" customWidth="1"/>
    <col min="5629" max="5629" width="9.19921875" style="3"/>
    <col min="5630" max="5630" width="9.19921875" style="3" customWidth="1"/>
    <col min="5631" max="5631" width="7.796875" style="3" customWidth="1"/>
    <col min="5632" max="5632" width="9.19921875" style="3"/>
    <col min="5633" max="5633" width="8.19921875" style="3" customWidth="1"/>
    <col min="5634" max="5634" width="10.19921875" style="3" customWidth="1"/>
    <col min="5635" max="5635" width="6.53125" style="3" customWidth="1"/>
    <col min="5636" max="5636" width="7.46484375" style="3" customWidth="1"/>
    <col min="5637" max="5637" width="7.53125" style="3" customWidth="1"/>
    <col min="5638" max="5638" width="7.19921875" style="3" customWidth="1"/>
    <col min="5639" max="5639" width="9.19921875" style="3"/>
    <col min="5640" max="5640" width="8.46484375" style="3" customWidth="1"/>
    <col min="5641" max="5882" width="9.19921875" style="3"/>
    <col min="5883" max="5883" width="5.19921875" style="3" customWidth="1"/>
    <col min="5884" max="5884" width="24.796875" style="3" customWidth="1"/>
    <col min="5885" max="5885" width="9.19921875" style="3"/>
    <col min="5886" max="5886" width="9.19921875" style="3" customWidth="1"/>
    <col min="5887" max="5887" width="7.796875" style="3" customWidth="1"/>
    <col min="5888" max="5888" width="9.19921875" style="3"/>
    <col min="5889" max="5889" width="8.19921875" style="3" customWidth="1"/>
    <col min="5890" max="5890" width="10.19921875" style="3" customWidth="1"/>
    <col min="5891" max="5891" width="6.53125" style="3" customWidth="1"/>
    <col min="5892" max="5892" width="7.46484375" style="3" customWidth="1"/>
    <col min="5893" max="5893" width="7.53125" style="3" customWidth="1"/>
    <col min="5894" max="5894" width="7.19921875" style="3" customWidth="1"/>
    <col min="5895" max="5895" width="9.19921875" style="3"/>
    <col min="5896" max="5896" width="8.46484375" style="3" customWidth="1"/>
    <col min="5897" max="6138" width="9.19921875" style="3"/>
    <col min="6139" max="6139" width="5.19921875" style="3" customWidth="1"/>
    <col min="6140" max="6140" width="24.796875" style="3" customWidth="1"/>
    <col min="6141" max="6141" width="9.19921875" style="3"/>
    <col min="6142" max="6142" width="9.19921875" style="3" customWidth="1"/>
    <col min="6143" max="6143" width="7.796875" style="3" customWidth="1"/>
    <col min="6144" max="6144" width="9.19921875" style="3"/>
    <col min="6145" max="6145" width="8.19921875" style="3" customWidth="1"/>
    <col min="6146" max="6146" width="10.19921875" style="3" customWidth="1"/>
    <col min="6147" max="6147" width="6.53125" style="3" customWidth="1"/>
    <col min="6148" max="6148" width="7.46484375" style="3" customWidth="1"/>
    <col min="6149" max="6149" width="7.53125" style="3" customWidth="1"/>
    <col min="6150" max="6150" width="7.19921875" style="3" customWidth="1"/>
    <col min="6151" max="6151" width="9.19921875" style="3"/>
    <col min="6152" max="6152" width="8.46484375" style="3" customWidth="1"/>
    <col min="6153" max="6394" width="9.19921875" style="3"/>
    <col min="6395" max="6395" width="5.19921875" style="3" customWidth="1"/>
    <col min="6396" max="6396" width="24.796875" style="3" customWidth="1"/>
    <col min="6397" max="6397" width="9.19921875" style="3"/>
    <col min="6398" max="6398" width="9.19921875" style="3" customWidth="1"/>
    <col min="6399" max="6399" width="7.796875" style="3" customWidth="1"/>
    <col min="6400" max="6400" width="9.19921875" style="3"/>
    <col min="6401" max="6401" width="8.19921875" style="3" customWidth="1"/>
    <col min="6402" max="6402" width="10.19921875" style="3" customWidth="1"/>
    <col min="6403" max="6403" width="6.53125" style="3" customWidth="1"/>
    <col min="6404" max="6404" width="7.46484375" style="3" customWidth="1"/>
    <col min="6405" max="6405" width="7.53125" style="3" customWidth="1"/>
    <col min="6406" max="6406" width="7.19921875" style="3" customWidth="1"/>
    <col min="6407" max="6407" width="9.19921875" style="3"/>
    <col min="6408" max="6408" width="8.46484375" style="3" customWidth="1"/>
    <col min="6409" max="6650" width="9.19921875" style="3"/>
    <col min="6651" max="6651" width="5.19921875" style="3" customWidth="1"/>
    <col min="6652" max="6652" width="24.796875" style="3" customWidth="1"/>
    <col min="6653" max="6653" width="9.19921875" style="3"/>
    <col min="6654" max="6654" width="9.19921875" style="3" customWidth="1"/>
    <col min="6655" max="6655" width="7.796875" style="3" customWidth="1"/>
    <col min="6656" max="6656" width="9.19921875" style="3"/>
    <col min="6657" max="6657" width="8.19921875" style="3" customWidth="1"/>
    <col min="6658" max="6658" width="10.19921875" style="3" customWidth="1"/>
    <col min="6659" max="6659" width="6.53125" style="3" customWidth="1"/>
    <col min="6660" max="6660" width="7.46484375" style="3" customWidth="1"/>
    <col min="6661" max="6661" width="7.53125" style="3" customWidth="1"/>
    <col min="6662" max="6662" width="7.19921875" style="3" customWidth="1"/>
    <col min="6663" max="6663" width="9.19921875" style="3"/>
    <col min="6664" max="6664" width="8.46484375" style="3" customWidth="1"/>
    <col min="6665" max="6906" width="9.19921875" style="3"/>
    <col min="6907" max="6907" width="5.19921875" style="3" customWidth="1"/>
    <col min="6908" max="6908" width="24.796875" style="3" customWidth="1"/>
    <col min="6909" max="6909" width="9.19921875" style="3"/>
    <col min="6910" max="6910" width="9.19921875" style="3" customWidth="1"/>
    <col min="6911" max="6911" width="7.796875" style="3" customWidth="1"/>
    <col min="6912" max="6912" width="9.19921875" style="3"/>
    <col min="6913" max="6913" width="8.19921875" style="3" customWidth="1"/>
    <col min="6914" max="6914" width="10.19921875" style="3" customWidth="1"/>
    <col min="6915" max="6915" width="6.53125" style="3" customWidth="1"/>
    <col min="6916" max="6916" width="7.46484375" style="3" customWidth="1"/>
    <col min="6917" max="6917" width="7.53125" style="3" customWidth="1"/>
    <col min="6918" max="6918" width="7.19921875" style="3" customWidth="1"/>
    <col min="6919" max="6919" width="9.19921875" style="3"/>
    <col min="6920" max="6920" width="8.46484375" style="3" customWidth="1"/>
    <col min="6921" max="7162" width="9.19921875" style="3"/>
    <col min="7163" max="7163" width="5.19921875" style="3" customWidth="1"/>
    <col min="7164" max="7164" width="24.796875" style="3" customWidth="1"/>
    <col min="7165" max="7165" width="9.19921875" style="3"/>
    <col min="7166" max="7166" width="9.19921875" style="3" customWidth="1"/>
    <col min="7167" max="7167" width="7.796875" style="3" customWidth="1"/>
    <col min="7168" max="7168" width="9.19921875" style="3"/>
    <col min="7169" max="7169" width="8.19921875" style="3" customWidth="1"/>
    <col min="7170" max="7170" width="10.19921875" style="3" customWidth="1"/>
    <col min="7171" max="7171" width="6.53125" style="3" customWidth="1"/>
    <col min="7172" max="7172" width="7.46484375" style="3" customWidth="1"/>
    <col min="7173" max="7173" width="7.53125" style="3" customWidth="1"/>
    <col min="7174" max="7174" width="7.19921875" style="3" customWidth="1"/>
    <col min="7175" max="7175" width="9.19921875" style="3"/>
    <col min="7176" max="7176" width="8.46484375" style="3" customWidth="1"/>
    <col min="7177" max="7418" width="9.19921875" style="3"/>
    <col min="7419" max="7419" width="5.19921875" style="3" customWidth="1"/>
    <col min="7420" max="7420" width="24.796875" style="3" customWidth="1"/>
    <col min="7421" max="7421" width="9.19921875" style="3"/>
    <col min="7422" max="7422" width="9.19921875" style="3" customWidth="1"/>
    <col min="7423" max="7423" width="7.796875" style="3" customWidth="1"/>
    <col min="7424" max="7424" width="9.19921875" style="3"/>
    <col min="7425" max="7425" width="8.19921875" style="3" customWidth="1"/>
    <col min="7426" max="7426" width="10.19921875" style="3" customWidth="1"/>
    <col min="7427" max="7427" width="6.53125" style="3" customWidth="1"/>
    <col min="7428" max="7428" width="7.46484375" style="3" customWidth="1"/>
    <col min="7429" max="7429" width="7.53125" style="3" customWidth="1"/>
    <col min="7430" max="7430" width="7.19921875" style="3" customWidth="1"/>
    <col min="7431" max="7431" width="9.19921875" style="3"/>
    <col min="7432" max="7432" width="8.46484375" style="3" customWidth="1"/>
    <col min="7433" max="7674" width="9.19921875" style="3"/>
    <col min="7675" max="7675" width="5.19921875" style="3" customWidth="1"/>
    <col min="7676" max="7676" width="24.796875" style="3" customWidth="1"/>
    <col min="7677" max="7677" width="9.19921875" style="3"/>
    <col min="7678" max="7678" width="9.19921875" style="3" customWidth="1"/>
    <col min="7679" max="7679" width="7.796875" style="3" customWidth="1"/>
    <col min="7680" max="7680" width="9.19921875" style="3"/>
    <col min="7681" max="7681" width="8.19921875" style="3" customWidth="1"/>
    <col min="7682" max="7682" width="10.19921875" style="3" customWidth="1"/>
    <col min="7683" max="7683" width="6.53125" style="3" customWidth="1"/>
    <col min="7684" max="7684" width="7.46484375" style="3" customWidth="1"/>
    <col min="7685" max="7685" width="7.53125" style="3" customWidth="1"/>
    <col min="7686" max="7686" width="7.19921875" style="3" customWidth="1"/>
    <col min="7687" max="7687" width="9.19921875" style="3"/>
    <col min="7688" max="7688" width="8.46484375" style="3" customWidth="1"/>
    <col min="7689" max="7930" width="9.19921875" style="3"/>
    <col min="7931" max="7931" width="5.19921875" style="3" customWidth="1"/>
    <col min="7932" max="7932" width="24.796875" style="3" customWidth="1"/>
    <col min="7933" max="7933" width="9.19921875" style="3"/>
    <col min="7934" max="7934" width="9.19921875" style="3" customWidth="1"/>
    <col min="7935" max="7935" width="7.796875" style="3" customWidth="1"/>
    <col min="7936" max="7936" width="9.19921875" style="3"/>
    <col min="7937" max="7937" width="8.19921875" style="3" customWidth="1"/>
    <col min="7938" max="7938" width="10.19921875" style="3" customWidth="1"/>
    <col min="7939" max="7939" width="6.53125" style="3" customWidth="1"/>
    <col min="7940" max="7940" width="7.46484375" style="3" customWidth="1"/>
    <col min="7941" max="7941" width="7.53125" style="3" customWidth="1"/>
    <col min="7942" max="7942" width="7.19921875" style="3" customWidth="1"/>
    <col min="7943" max="7943" width="9.19921875" style="3"/>
    <col min="7944" max="7944" width="8.46484375" style="3" customWidth="1"/>
    <col min="7945" max="8186" width="9.19921875" style="3"/>
    <col min="8187" max="8187" width="5.19921875" style="3" customWidth="1"/>
    <col min="8188" max="8188" width="24.796875" style="3" customWidth="1"/>
    <col min="8189" max="8189" width="9.19921875" style="3"/>
    <col min="8190" max="8190" width="9.19921875" style="3" customWidth="1"/>
    <col min="8191" max="8191" width="7.796875" style="3" customWidth="1"/>
    <col min="8192" max="8192" width="9.19921875" style="3"/>
    <col min="8193" max="8193" width="8.19921875" style="3" customWidth="1"/>
    <col min="8194" max="8194" width="10.19921875" style="3" customWidth="1"/>
    <col min="8195" max="8195" width="6.53125" style="3" customWidth="1"/>
    <col min="8196" max="8196" width="7.46484375" style="3" customWidth="1"/>
    <col min="8197" max="8197" width="7.53125" style="3" customWidth="1"/>
    <col min="8198" max="8198" width="7.19921875" style="3" customWidth="1"/>
    <col min="8199" max="8199" width="9.19921875" style="3"/>
    <col min="8200" max="8200" width="8.46484375" style="3" customWidth="1"/>
    <col min="8201" max="8442" width="9.19921875" style="3"/>
    <col min="8443" max="8443" width="5.19921875" style="3" customWidth="1"/>
    <col min="8444" max="8444" width="24.796875" style="3" customWidth="1"/>
    <col min="8445" max="8445" width="9.19921875" style="3"/>
    <col min="8446" max="8446" width="9.19921875" style="3" customWidth="1"/>
    <col min="8447" max="8447" width="7.796875" style="3" customWidth="1"/>
    <col min="8448" max="8448" width="9.19921875" style="3"/>
    <col min="8449" max="8449" width="8.19921875" style="3" customWidth="1"/>
    <col min="8450" max="8450" width="10.19921875" style="3" customWidth="1"/>
    <col min="8451" max="8451" width="6.53125" style="3" customWidth="1"/>
    <col min="8452" max="8452" width="7.46484375" style="3" customWidth="1"/>
    <col min="8453" max="8453" width="7.53125" style="3" customWidth="1"/>
    <col min="8454" max="8454" width="7.19921875" style="3" customWidth="1"/>
    <col min="8455" max="8455" width="9.19921875" style="3"/>
    <col min="8456" max="8456" width="8.46484375" style="3" customWidth="1"/>
    <col min="8457" max="8698" width="9.19921875" style="3"/>
    <col min="8699" max="8699" width="5.19921875" style="3" customWidth="1"/>
    <col min="8700" max="8700" width="24.796875" style="3" customWidth="1"/>
    <col min="8701" max="8701" width="9.19921875" style="3"/>
    <col min="8702" max="8702" width="9.19921875" style="3" customWidth="1"/>
    <col min="8703" max="8703" width="7.796875" style="3" customWidth="1"/>
    <col min="8704" max="8704" width="9.19921875" style="3"/>
    <col min="8705" max="8705" width="8.19921875" style="3" customWidth="1"/>
    <col min="8706" max="8706" width="10.19921875" style="3" customWidth="1"/>
    <col min="8707" max="8707" width="6.53125" style="3" customWidth="1"/>
    <col min="8708" max="8708" width="7.46484375" style="3" customWidth="1"/>
    <col min="8709" max="8709" width="7.53125" style="3" customWidth="1"/>
    <col min="8710" max="8710" width="7.19921875" style="3" customWidth="1"/>
    <col min="8711" max="8711" width="9.19921875" style="3"/>
    <col min="8712" max="8712" width="8.46484375" style="3" customWidth="1"/>
    <col min="8713" max="8954" width="9.19921875" style="3"/>
    <col min="8955" max="8955" width="5.19921875" style="3" customWidth="1"/>
    <col min="8956" max="8956" width="24.796875" style="3" customWidth="1"/>
    <col min="8957" max="8957" width="9.19921875" style="3"/>
    <col min="8958" max="8958" width="9.19921875" style="3" customWidth="1"/>
    <col min="8959" max="8959" width="7.796875" style="3" customWidth="1"/>
    <col min="8960" max="8960" width="9.19921875" style="3"/>
    <col min="8961" max="8961" width="8.19921875" style="3" customWidth="1"/>
    <col min="8962" max="8962" width="10.19921875" style="3" customWidth="1"/>
    <col min="8963" max="8963" width="6.53125" style="3" customWidth="1"/>
    <col min="8964" max="8964" width="7.46484375" style="3" customWidth="1"/>
    <col min="8965" max="8965" width="7.53125" style="3" customWidth="1"/>
    <col min="8966" max="8966" width="7.19921875" style="3" customWidth="1"/>
    <col min="8967" max="8967" width="9.19921875" style="3"/>
    <col min="8968" max="8968" width="8.46484375" style="3" customWidth="1"/>
    <col min="8969" max="9210" width="9.19921875" style="3"/>
    <col min="9211" max="9211" width="5.19921875" style="3" customWidth="1"/>
    <col min="9212" max="9212" width="24.796875" style="3" customWidth="1"/>
    <col min="9213" max="9213" width="9.19921875" style="3"/>
    <col min="9214" max="9214" width="9.19921875" style="3" customWidth="1"/>
    <col min="9215" max="9215" width="7.796875" style="3" customWidth="1"/>
    <col min="9216" max="9216" width="9.19921875" style="3"/>
    <col min="9217" max="9217" width="8.19921875" style="3" customWidth="1"/>
    <col min="9218" max="9218" width="10.19921875" style="3" customWidth="1"/>
    <col min="9219" max="9219" width="6.53125" style="3" customWidth="1"/>
    <col min="9220" max="9220" width="7.46484375" style="3" customWidth="1"/>
    <col min="9221" max="9221" width="7.53125" style="3" customWidth="1"/>
    <col min="9222" max="9222" width="7.19921875" style="3" customWidth="1"/>
    <col min="9223" max="9223" width="9.19921875" style="3"/>
    <col min="9224" max="9224" width="8.46484375" style="3" customWidth="1"/>
    <col min="9225" max="9466" width="9.19921875" style="3"/>
    <col min="9467" max="9467" width="5.19921875" style="3" customWidth="1"/>
    <col min="9468" max="9468" width="24.796875" style="3" customWidth="1"/>
    <col min="9469" max="9469" width="9.19921875" style="3"/>
    <col min="9470" max="9470" width="9.19921875" style="3" customWidth="1"/>
    <col min="9471" max="9471" width="7.796875" style="3" customWidth="1"/>
    <col min="9472" max="9472" width="9.19921875" style="3"/>
    <col min="9473" max="9473" width="8.19921875" style="3" customWidth="1"/>
    <col min="9474" max="9474" width="10.19921875" style="3" customWidth="1"/>
    <col min="9475" max="9475" width="6.53125" style="3" customWidth="1"/>
    <col min="9476" max="9476" width="7.46484375" style="3" customWidth="1"/>
    <col min="9477" max="9477" width="7.53125" style="3" customWidth="1"/>
    <col min="9478" max="9478" width="7.19921875" style="3" customWidth="1"/>
    <col min="9479" max="9479" width="9.19921875" style="3"/>
    <col min="9480" max="9480" width="8.46484375" style="3" customWidth="1"/>
    <col min="9481" max="9722" width="9.19921875" style="3"/>
    <col min="9723" max="9723" width="5.19921875" style="3" customWidth="1"/>
    <col min="9724" max="9724" width="24.796875" style="3" customWidth="1"/>
    <col min="9725" max="9725" width="9.19921875" style="3"/>
    <col min="9726" max="9726" width="9.19921875" style="3" customWidth="1"/>
    <col min="9727" max="9727" width="7.796875" style="3" customWidth="1"/>
    <col min="9728" max="9728" width="9.19921875" style="3"/>
    <col min="9729" max="9729" width="8.19921875" style="3" customWidth="1"/>
    <col min="9730" max="9730" width="10.19921875" style="3" customWidth="1"/>
    <col min="9731" max="9731" width="6.53125" style="3" customWidth="1"/>
    <col min="9732" max="9732" width="7.46484375" style="3" customWidth="1"/>
    <col min="9733" max="9733" width="7.53125" style="3" customWidth="1"/>
    <col min="9734" max="9734" width="7.19921875" style="3" customWidth="1"/>
    <col min="9735" max="9735" width="9.19921875" style="3"/>
    <col min="9736" max="9736" width="8.46484375" style="3" customWidth="1"/>
    <col min="9737" max="9978" width="9.19921875" style="3"/>
    <col min="9979" max="9979" width="5.19921875" style="3" customWidth="1"/>
    <col min="9980" max="9980" width="24.796875" style="3" customWidth="1"/>
    <col min="9981" max="9981" width="9.19921875" style="3"/>
    <col min="9982" max="9982" width="9.19921875" style="3" customWidth="1"/>
    <col min="9983" max="9983" width="7.796875" style="3" customWidth="1"/>
    <col min="9984" max="9984" width="9.19921875" style="3"/>
    <col min="9985" max="9985" width="8.19921875" style="3" customWidth="1"/>
    <col min="9986" max="9986" width="10.19921875" style="3" customWidth="1"/>
    <col min="9987" max="9987" width="6.53125" style="3" customWidth="1"/>
    <col min="9988" max="9988" width="7.46484375" style="3" customWidth="1"/>
    <col min="9989" max="9989" width="7.53125" style="3" customWidth="1"/>
    <col min="9990" max="9990" width="7.19921875" style="3" customWidth="1"/>
    <col min="9991" max="9991" width="9.19921875" style="3"/>
    <col min="9992" max="9992" width="8.46484375" style="3" customWidth="1"/>
    <col min="9993" max="10234" width="9.19921875" style="3"/>
    <col min="10235" max="10235" width="5.19921875" style="3" customWidth="1"/>
    <col min="10236" max="10236" width="24.796875" style="3" customWidth="1"/>
    <col min="10237" max="10237" width="9.19921875" style="3"/>
    <col min="10238" max="10238" width="9.19921875" style="3" customWidth="1"/>
    <col min="10239" max="10239" width="7.796875" style="3" customWidth="1"/>
    <col min="10240" max="10240" width="9.19921875" style="3"/>
    <col min="10241" max="10241" width="8.19921875" style="3" customWidth="1"/>
    <col min="10242" max="10242" width="10.19921875" style="3" customWidth="1"/>
    <col min="10243" max="10243" width="6.53125" style="3" customWidth="1"/>
    <col min="10244" max="10244" width="7.46484375" style="3" customWidth="1"/>
    <col min="10245" max="10245" width="7.53125" style="3" customWidth="1"/>
    <col min="10246" max="10246" width="7.19921875" style="3" customWidth="1"/>
    <col min="10247" max="10247" width="9.19921875" style="3"/>
    <col min="10248" max="10248" width="8.46484375" style="3" customWidth="1"/>
    <col min="10249" max="10490" width="9.19921875" style="3"/>
    <col min="10491" max="10491" width="5.19921875" style="3" customWidth="1"/>
    <col min="10492" max="10492" width="24.796875" style="3" customWidth="1"/>
    <col min="10493" max="10493" width="9.19921875" style="3"/>
    <col min="10494" max="10494" width="9.19921875" style="3" customWidth="1"/>
    <col min="10495" max="10495" width="7.796875" style="3" customWidth="1"/>
    <col min="10496" max="10496" width="9.19921875" style="3"/>
    <col min="10497" max="10497" width="8.19921875" style="3" customWidth="1"/>
    <col min="10498" max="10498" width="10.19921875" style="3" customWidth="1"/>
    <col min="10499" max="10499" width="6.53125" style="3" customWidth="1"/>
    <col min="10500" max="10500" width="7.46484375" style="3" customWidth="1"/>
    <col min="10501" max="10501" width="7.53125" style="3" customWidth="1"/>
    <col min="10502" max="10502" width="7.19921875" style="3" customWidth="1"/>
    <col min="10503" max="10503" width="9.19921875" style="3"/>
    <col min="10504" max="10504" width="8.46484375" style="3" customWidth="1"/>
    <col min="10505" max="10746" width="9.19921875" style="3"/>
    <col min="10747" max="10747" width="5.19921875" style="3" customWidth="1"/>
    <col min="10748" max="10748" width="24.796875" style="3" customWidth="1"/>
    <col min="10749" max="10749" width="9.19921875" style="3"/>
    <col min="10750" max="10750" width="9.19921875" style="3" customWidth="1"/>
    <col min="10751" max="10751" width="7.796875" style="3" customWidth="1"/>
    <col min="10752" max="10752" width="9.19921875" style="3"/>
    <col min="10753" max="10753" width="8.19921875" style="3" customWidth="1"/>
    <col min="10754" max="10754" width="10.19921875" style="3" customWidth="1"/>
    <col min="10755" max="10755" width="6.53125" style="3" customWidth="1"/>
    <col min="10756" max="10756" width="7.46484375" style="3" customWidth="1"/>
    <col min="10757" max="10757" width="7.53125" style="3" customWidth="1"/>
    <col min="10758" max="10758" width="7.19921875" style="3" customWidth="1"/>
    <col min="10759" max="10759" width="9.19921875" style="3"/>
    <col min="10760" max="10760" width="8.46484375" style="3" customWidth="1"/>
    <col min="10761" max="11002" width="9.19921875" style="3"/>
    <col min="11003" max="11003" width="5.19921875" style="3" customWidth="1"/>
    <col min="11004" max="11004" width="24.796875" style="3" customWidth="1"/>
    <col min="11005" max="11005" width="9.19921875" style="3"/>
    <col min="11006" max="11006" width="9.19921875" style="3" customWidth="1"/>
    <col min="11007" max="11007" width="7.796875" style="3" customWidth="1"/>
    <col min="11008" max="11008" width="9.19921875" style="3"/>
    <col min="11009" max="11009" width="8.19921875" style="3" customWidth="1"/>
    <col min="11010" max="11010" width="10.19921875" style="3" customWidth="1"/>
    <col min="11011" max="11011" width="6.53125" style="3" customWidth="1"/>
    <col min="11012" max="11012" width="7.46484375" style="3" customWidth="1"/>
    <col min="11013" max="11013" width="7.53125" style="3" customWidth="1"/>
    <col min="11014" max="11014" width="7.19921875" style="3" customWidth="1"/>
    <col min="11015" max="11015" width="9.19921875" style="3"/>
    <col min="11016" max="11016" width="8.46484375" style="3" customWidth="1"/>
    <col min="11017" max="11258" width="9.19921875" style="3"/>
    <col min="11259" max="11259" width="5.19921875" style="3" customWidth="1"/>
    <col min="11260" max="11260" width="24.796875" style="3" customWidth="1"/>
    <col min="11261" max="11261" width="9.19921875" style="3"/>
    <col min="11262" max="11262" width="9.19921875" style="3" customWidth="1"/>
    <col min="11263" max="11263" width="7.796875" style="3" customWidth="1"/>
    <col min="11264" max="11264" width="9.19921875" style="3"/>
    <col min="11265" max="11265" width="8.19921875" style="3" customWidth="1"/>
    <col min="11266" max="11266" width="10.19921875" style="3" customWidth="1"/>
    <col min="11267" max="11267" width="6.53125" style="3" customWidth="1"/>
    <col min="11268" max="11268" width="7.46484375" style="3" customWidth="1"/>
    <col min="11269" max="11269" width="7.53125" style="3" customWidth="1"/>
    <col min="11270" max="11270" width="7.19921875" style="3" customWidth="1"/>
    <col min="11271" max="11271" width="9.19921875" style="3"/>
    <col min="11272" max="11272" width="8.46484375" style="3" customWidth="1"/>
    <col min="11273" max="11514" width="9.19921875" style="3"/>
    <col min="11515" max="11515" width="5.19921875" style="3" customWidth="1"/>
    <col min="11516" max="11516" width="24.796875" style="3" customWidth="1"/>
    <col min="11517" max="11517" width="9.19921875" style="3"/>
    <col min="11518" max="11518" width="9.19921875" style="3" customWidth="1"/>
    <col min="11519" max="11519" width="7.796875" style="3" customWidth="1"/>
    <col min="11520" max="11520" width="9.19921875" style="3"/>
    <col min="11521" max="11521" width="8.19921875" style="3" customWidth="1"/>
    <col min="11522" max="11522" width="10.19921875" style="3" customWidth="1"/>
    <col min="11523" max="11523" width="6.53125" style="3" customWidth="1"/>
    <col min="11524" max="11524" width="7.46484375" style="3" customWidth="1"/>
    <col min="11525" max="11525" width="7.53125" style="3" customWidth="1"/>
    <col min="11526" max="11526" width="7.19921875" style="3" customWidth="1"/>
    <col min="11527" max="11527" width="9.19921875" style="3"/>
    <col min="11528" max="11528" width="8.46484375" style="3" customWidth="1"/>
    <col min="11529" max="11770" width="9.19921875" style="3"/>
    <col min="11771" max="11771" width="5.19921875" style="3" customWidth="1"/>
    <col min="11772" max="11772" width="24.796875" style="3" customWidth="1"/>
    <col min="11773" max="11773" width="9.19921875" style="3"/>
    <col min="11774" max="11774" width="9.19921875" style="3" customWidth="1"/>
    <col min="11775" max="11775" width="7.796875" style="3" customWidth="1"/>
    <col min="11776" max="11776" width="9.19921875" style="3"/>
    <col min="11777" max="11777" width="8.19921875" style="3" customWidth="1"/>
    <col min="11778" max="11778" width="10.19921875" style="3" customWidth="1"/>
    <col min="11779" max="11779" width="6.53125" style="3" customWidth="1"/>
    <col min="11780" max="11780" width="7.46484375" style="3" customWidth="1"/>
    <col min="11781" max="11781" width="7.53125" style="3" customWidth="1"/>
    <col min="11782" max="11782" width="7.19921875" style="3" customWidth="1"/>
    <col min="11783" max="11783" width="9.19921875" style="3"/>
    <col min="11784" max="11784" width="8.46484375" style="3" customWidth="1"/>
    <col min="11785" max="12026" width="9.19921875" style="3"/>
    <col min="12027" max="12027" width="5.19921875" style="3" customWidth="1"/>
    <col min="12028" max="12028" width="24.796875" style="3" customWidth="1"/>
    <col min="12029" max="12029" width="9.19921875" style="3"/>
    <col min="12030" max="12030" width="9.19921875" style="3" customWidth="1"/>
    <col min="12031" max="12031" width="7.796875" style="3" customWidth="1"/>
    <col min="12032" max="12032" width="9.19921875" style="3"/>
    <col min="12033" max="12033" width="8.19921875" style="3" customWidth="1"/>
    <col min="12034" max="12034" width="10.19921875" style="3" customWidth="1"/>
    <col min="12035" max="12035" width="6.53125" style="3" customWidth="1"/>
    <col min="12036" max="12036" width="7.46484375" style="3" customWidth="1"/>
    <col min="12037" max="12037" width="7.53125" style="3" customWidth="1"/>
    <col min="12038" max="12038" width="7.19921875" style="3" customWidth="1"/>
    <col min="12039" max="12039" width="9.19921875" style="3"/>
    <col min="12040" max="12040" width="8.46484375" style="3" customWidth="1"/>
    <col min="12041" max="12282" width="9.19921875" style="3"/>
    <col min="12283" max="12283" width="5.19921875" style="3" customWidth="1"/>
    <col min="12284" max="12284" width="24.796875" style="3" customWidth="1"/>
    <col min="12285" max="12285" width="9.19921875" style="3"/>
    <col min="12286" max="12286" width="9.19921875" style="3" customWidth="1"/>
    <col min="12287" max="12287" width="7.796875" style="3" customWidth="1"/>
    <col min="12288" max="12288" width="9.19921875" style="3"/>
    <col min="12289" max="12289" width="8.19921875" style="3" customWidth="1"/>
    <col min="12290" max="12290" width="10.19921875" style="3" customWidth="1"/>
    <col min="12291" max="12291" width="6.53125" style="3" customWidth="1"/>
    <col min="12292" max="12292" width="7.46484375" style="3" customWidth="1"/>
    <col min="12293" max="12293" width="7.53125" style="3" customWidth="1"/>
    <col min="12294" max="12294" width="7.19921875" style="3" customWidth="1"/>
    <col min="12295" max="12295" width="9.19921875" style="3"/>
    <col min="12296" max="12296" width="8.46484375" style="3" customWidth="1"/>
    <col min="12297" max="12538" width="9.19921875" style="3"/>
    <col min="12539" max="12539" width="5.19921875" style="3" customWidth="1"/>
    <col min="12540" max="12540" width="24.796875" style="3" customWidth="1"/>
    <col min="12541" max="12541" width="9.19921875" style="3"/>
    <col min="12542" max="12542" width="9.19921875" style="3" customWidth="1"/>
    <col min="12543" max="12543" width="7.796875" style="3" customWidth="1"/>
    <col min="12544" max="12544" width="9.19921875" style="3"/>
    <col min="12545" max="12545" width="8.19921875" style="3" customWidth="1"/>
    <col min="12546" max="12546" width="10.19921875" style="3" customWidth="1"/>
    <col min="12547" max="12547" width="6.53125" style="3" customWidth="1"/>
    <col min="12548" max="12548" width="7.46484375" style="3" customWidth="1"/>
    <col min="12549" max="12549" width="7.53125" style="3" customWidth="1"/>
    <col min="12550" max="12550" width="7.19921875" style="3" customWidth="1"/>
    <col min="12551" max="12551" width="9.19921875" style="3"/>
    <col min="12552" max="12552" width="8.46484375" style="3" customWidth="1"/>
    <col min="12553" max="12794" width="9.19921875" style="3"/>
    <col min="12795" max="12795" width="5.19921875" style="3" customWidth="1"/>
    <col min="12796" max="12796" width="24.796875" style="3" customWidth="1"/>
    <col min="12797" max="12797" width="9.19921875" style="3"/>
    <col min="12798" max="12798" width="9.19921875" style="3" customWidth="1"/>
    <col min="12799" max="12799" width="7.796875" style="3" customWidth="1"/>
    <col min="12800" max="12800" width="9.19921875" style="3"/>
    <col min="12801" max="12801" width="8.19921875" style="3" customWidth="1"/>
    <col min="12802" max="12802" width="10.19921875" style="3" customWidth="1"/>
    <col min="12803" max="12803" width="6.53125" style="3" customWidth="1"/>
    <col min="12804" max="12804" width="7.46484375" style="3" customWidth="1"/>
    <col min="12805" max="12805" width="7.53125" style="3" customWidth="1"/>
    <col min="12806" max="12806" width="7.19921875" style="3" customWidth="1"/>
    <col min="12807" max="12807" width="9.19921875" style="3"/>
    <col min="12808" max="12808" width="8.46484375" style="3" customWidth="1"/>
    <col min="12809" max="13050" width="9.19921875" style="3"/>
    <col min="13051" max="13051" width="5.19921875" style="3" customWidth="1"/>
    <col min="13052" max="13052" width="24.796875" style="3" customWidth="1"/>
    <col min="13053" max="13053" width="9.19921875" style="3"/>
    <col min="13054" max="13054" width="9.19921875" style="3" customWidth="1"/>
    <col min="13055" max="13055" width="7.796875" style="3" customWidth="1"/>
    <col min="13056" max="13056" width="9.19921875" style="3"/>
    <col min="13057" max="13057" width="8.19921875" style="3" customWidth="1"/>
    <col min="13058" max="13058" width="10.19921875" style="3" customWidth="1"/>
    <col min="13059" max="13059" width="6.53125" style="3" customWidth="1"/>
    <col min="13060" max="13060" width="7.46484375" style="3" customWidth="1"/>
    <col min="13061" max="13061" width="7.53125" style="3" customWidth="1"/>
    <col min="13062" max="13062" width="7.19921875" style="3" customWidth="1"/>
    <col min="13063" max="13063" width="9.19921875" style="3"/>
    <col min="13064" max="13064" width="8.46484375" style="3" customWidth="1"/>
    <col min="13065" max="13306" width="9.19921875" style="3"/>
    <col min="13307" max="13307" width="5.19921875" style="3" customWidth="1"/>
    <col min="13308" max="13308" width="24.796875" style="3" customWidth="1"/>
    <col min="13309" max="13309" width="9.19921875" style="3"/>
    <col min="13310" max="13310" width="9.19921875" style="3" customWidth="1"/>
    <col min="13311" max="13311" width="7.796875" style="3" customWidth="1"/>
    <col min="13312" max="13312" width="9.19921875" style="3"/>
    <col min="13313" max="13313" width="8.19921875" style="3" customWidth="1"/>
    <col min="13314" max="13314" width="10.19921875" style="3" customWidth="1"/>
    <col min="13315" max="13315" width="6.53125" style="3" customWidth="1"/>
    <col min="13316" max="13316" width="7.46484375" style="3" customWidth="1"/>
    <col min="13317" max="13317" width="7.53125" style="3" customWidth="1"/>
    <col min="13318" max="13318" width="7.19921875" style="3" customWidth="1"/>
    <col min="13319" max="13319" width="9.19921875" style="3"/>
    <col min="13320" max="13320" width="8.46484375" style="3" customWidth="1"/>
    <col min="13321" max="13562" width="9.19921875" style="3"/>
    <col min="13563" max="13563" width="5.19921875" style="3" customWidth="1"/>
    <col min="13564" max="13564" width="24.796875" style="3" customWidth="1"/>
    <col min="13565" max="13565" width="9.19921875" style="3"/>
    <col min="13566" max="13566" width="9.19921875" style="3" customWidth="1"/>
    <col min="13567" max="13567" width="7.796875" style="3" customWidth="1"/>
    <col min="13568" max="13568" width="9.19921875" style="3"/>
    <col min="13569" max="13569" width="8.19921875" style="3" customWidth="1"/>
    <col min="13570" max="13570" width="10.19921875" style="3" customWidth="1"/>
    <col min="13571" max="13571" width="6.53125" style="3" customWidth="1"/>
    <col min="13572" max="13572" width="7.46484375" style="3" customWidth="1"/>
    <col min="13573" max="13573" width="7.53125" style="3" customWidth="1"/>
    <col min="13574" max="13574" width="7.19921875" style="3" customWidth="1"/>
    <col min="13575" max="13575" width="9.19921875" style="3"/>
    <col min="13576" max="13576" width="8.46484375" style="3" customWidth="1"/>
    <col min="13577" max="13818" width="9.19921875" style="3"/>
    <col min="13819" max="13819" width="5.19921875" style="3" customWidth="1"/>
    <col min="13820" max="13820" width="24.796875" style="3" customWidth="1"/>
    <col min="13821" max="13821" width="9.19921875" style="3"/>
    <col min="13822" max="13822" width="9.19921875" style="3" customWidth="1"/>
    <col min="13823" max="13823" width="7.796875" style="3" customWidth="1"/>
    <col min="13824" max="13824" width="9.19921875" style="3"/>
    <col min="13825" max="13825" width="8.19921875" style="3" customWidth="1"/>
    <col min="13826" max="13826" width="10.19921875" style="3" customWidth="1"/>
    <col min="13827" max="13827" width="6.53125" style="3" customWidth="1"/>
    <col min="13828" max="13828" width="7.46484375" style="3" customWidth="1"/>
    <col min="13829" max="13829" width="7.53125" style="3" customWidth="1"/>
    <col min="13830" max="13830" width="7.19921875" style="3" customWidth="1"/>
    <col min="13831" max="13831" width="9.19921875" style="3"/>
    <col min="13832" max="13832" width="8.46484375" style="3" customWidth="1"/>
    <col min="13833" max="14074" width="9.19921875" style="3"/>
    <col min="14075" max="14075" width="5.19921875" style="3" customWidth="1"/>
    <col min="14076" max="14076" width="24.796875" style="3" customWidth="1"/>
    <col min="14077" max="14077" width="9.19921875" style="3"/>
    <col min="14078" max="14078" width="9.19921875" style="3" customWidth="1"/>
    <col min="14079" max="14079" width="7.796875" style="3" customWidth="1"/>
    <col min="14080" max="14080" width="9.19921875" style="3"/>
    <col min="14081" max="14081" width="8.19921875" style="3" customWidth="1"/>
    <col min="14082" max="14082" width="10.19921875" style="3" customWidth="1"/>
    <col min="14083" max="14083" width="6.53125" style="3" customWidth="1"/>
    <col min="14084" max="14084" width="7.46484375" style="3" customWidth="1"/>
    <col min="14085" max="14085" width="7.53125" style="3" customWidth="1"/>
    <col min="14086" max="14086" width="7.19921875" style="3" customWidth="1"/>
    <col min="14087" max="14087" width="9.19921875" style="3"/>
    <col min="14088" max="14088" width="8.46484375" style="3" customWidth="1"/>
    <col min="14089" max="14330" width="9.19921875" style="3"/>
    <col min="14331" max="14331" width="5.19921875" style="3" customWidth="1"/>
    <col min="14332" max="14332" width="24.796875" style="3" customWidth="1"/>
    <col min="14333" max="14333" width="9.19921875" style="3"/>
    <col min="14334" max="14334" width="9.19921875" style="3" customWidth="1"/>
    <col min="14335" max="14335" width="7.796875" style="3" customWidth="1"/>
    <col min="14336" max="14336" width="9.19921875" style="3"/>
    <col min="14337" max="14337" width="8.19921875" style="3" customWidth="1"/>
    <col min="14338" max="14338" width="10.19921875" style="3" customWidth="1"/>
    <col min="14339" max="14339" width="6.53125" style="3" customWidth="1"/>
    <col min="14340" max="14340" width="7.46484375" style="3" customWidth="1"/>
    <col min="14341" max="14341" width="7.53125" style="3" customWidth="1"/>
    <col min="14342" max="14342" width="7.19921875" style="3" customWidth="1"/>
    <col min="14343" max="14343" width="9.19921875" style="3"/>
    <col min="14344" max="14344" width="8.46484375" style="3" customWidth="1"/>
    <col min="14345" max="14586" width="9.19921875" style="3"/>
    <col min="14587" max="14587" width="5.19921875" style="3" customWidth="1"/>
    <col min="14588" max="14588" width="24.796875" style="3" customWidth="1"/>
    <col min="14589" max="14589" width="9.19921875" style="3"/>
    <col min="14590" max="14590" width="9.19921875" style="3" customWidth="1"/>
    <col min="14591" max="14591" width="7.796875" style="3" customWidth="1"/>
    <col min="14592" max="14592" width="9.19921875" style="3"/>
    <col min="14593" max="14593" width="8.19921875" style="3" customWidth="1"/>
    <col min="14594" max="14594" width="10.19921875" style="3" customWidth="1"/>
    <col min="14595" max="14595" width="6.53125" style="3" customWidth="1"/>
    <col min="14596" max="14596" width="7.46484375" style="3" customWidth="1"/>
    <col min="14597" max="14597" width="7.53125" style="3" customWidth="1"/>
    <col min="14598" max="14598" width="7.19921875" style="3" customWidth="1"/>
    <col min="14599" max="14599" width="9.19921875" style="3"/>
    <col min="14600" max="14600" width="8.46484375" style="3" customWidth="1"/>
    <col min="14601" max="14842" width="9.19921875" style="3"/>
    <col min="14843" max="14843" width="5.19921875" style="3" customWidth="1"/>
    <col min="14844" max="14844" width="24.796875" style="3" customWidth="1"/>
    <col min="14845" max="14845" width="9.19921875" style="3"/>
    <col min="14846" max="14846" width="9.19921875" style="3" customWidth="1"/>
    <col min="14847" max="14847" width="7.796875" style="3" customWidth="1"/>
    <col min="14848" max="14848" width="9.19921875" style="3"/>
    <col min="14849" max="14849" width="8.19921875" style="3" customWidth="1"/>
    <col min="14850" max="14850" width="10.19921875" style="3" customWidth="1"/>
    <col min="14851" max="14851" width="6.53125" style="3" customWidth="1"/>
    <col min="14852" max="14852" width="7.46484375" style="3" customWidth="1"/>
    <col min="14853" max="14853" width="7.53125" style="3" customWidth="1"/>
    <col min="14854" max="14854" width="7.19921875" style="3" customWidth="1"/>
    <col min="14855" max="14855" width="9.19921875" style="3"/>
    <col min="14856" max="14856" width="8.46484375" style="3" customWidth="1"/>
    <col min="14857" max="15098" width="9.19921875" style="3"/>
    <col min="15099" max="15099" width="5.19921875" style="3" customWidth="1"/>
    <col min="15100" max="15100" width="24.796875" style="3" customWidth="1"/>
    <col min="15101" max="15101" width="9.19921875" style="3"/>
    <col min="15102" max="15102" width="9.19921875" style="3" customWidth="1"/>
    <col min="15103" max="15103" width="7.796875" style="3" customWidth="1"/>
    <col min="15104" max="15104" width="9.19921875" style="3"/>
    <col min="15105" max="15105" width="8.19921875" style="3" customWidth="1"/>
    <col min="15106" max="15106" width="10.19921875" style="3" customWidth="1"/>
    <col min="15107" max="15107" width="6.53125" style="3" customWidth="1"/>
    <col min="15108" max="15108" width="7.46484375" style="3" customWidth="1"/>
    <col min="15109" max="15109" width="7.53125" style="3" customWidth="1"/>
    <col min="15110" max="15110" width="7.19921875" style="3" customWidth="1"/>
    <col min="15111" max="15111" width="9.19921875" style="3"/>
    <col min="15112" max="15112" width="8.46484375" style="3" customWidth="1"/>
    <col min="15113" max="15354" width="9.19921875" style="3"/>
    <col min="15355" max="15355" width="5.19921875" style="3" customWidth="1"/>
    <col min="15356" max="15356" width="24.796875" style="3" customWidth="1"/>
    <col min="15357" max="15357" width="9.19921875" style="3"/>
    <col min="15358" max="15358" width="9.19921875" style="3" customWidth="1"/>
    <col min="15359" max="15359" width="7.796875" style="3" customWidth="1"/>
    <col min="15360" max="15360" width="9.19921875" style="3"/>
    <col min="15361" max="15361" width="8.19921875" style="3" customWidth="1"/>
    <col min="15362" max="15362" width="10.19921875" style="3" customWidth="1"/>
    <col min="15363" max="15363" width="6.53125" style="3" customWidth="1"/>
    <col min="15364" max="15364" width="7.46484375" style="3" customWidth="1"/>
    <col min="15365" max="15365" width="7.53125" style="3" customWidth="1"/>
    <col min="15366" max="15366" width="7.19921875" style="3" customWidth="1"/>
    <col min="15367" max="15367" width="9.19921875" style="3"/>
    <col min="15368" max="15368" width="8.46484375" style="3" customWidth="1"/>
    <col min="15369" max="15610" width="9.19921875" style="3"/>
    <col min="15611" max="15611" width="5.19921875" style="3" customWidth="1"/>
    <col min="15612" max="15612" width="24.796875" style="3" customWidth="1"/>
    <col min="15613" max="15613" width="9.19921875" style="3"/>
    <col min="15614" max="15614" width="9.19921875" style="3" customWidth="1"/>
    <col min="15615" max="15615" width="7.796875" style="3" customWidth="1"/>
    <col min="15616" max="15616" width="9.19921875" style="3"/>
    <col min="15617" max="15617" width="8.19921875" style="3" customWidth="1"/>
    <col min="15618" max="15618" width="10.19921875" style="3" customWidth="1"/>
    <col min="15619" max="15619" width="6.53125" style="3" customWidth="1"/>
    <col min="15620" max="15620" width="7.46484375" style="3" customWidth="1"/>
    <col min="15621" max="15621" width="7.53125" style="3" customWidth="1"/>
    <col min="15622" max="15622" width="7.19921875" style="3" customWidth="1"/>
    <col min="15623" max="15623" width="9.19921875" style="3"/>
    <col min="15624" max="15624" width="8.46484375" style="3" customWidth="1"/>
    <col min="15625" max="15866" width="9.19921875" style="3"/>
    <col min="15867" max="15867" width="5.19921875" style="3" customWidth="1"/>
    <col min="15868" max="15868" width="24.796875" style="3" customWidth="1"/>
    <col min="15869" max="15869" width="9.19921875" style="3"/>
    <col min="15870" max="15870" width="9.19921875" style="3" customWidth="1"/>
    <col min="15871" max="15871" width="7.796875" style="3" customWidth="1"/>
    <col min="15872" max="15872" width="9.19921875" style="3"/>
    <col min="15873" max="15873" width="8.19921875" style="3" customWidth="1"/>
    <col min="15874" max="15874" width="10.19921875" style="3" customWidth="1"/>
    <col min="15875" max="15875" width="6.53125" style="3" customWidth="1"/>
    <col min="15876" max="15876" width="7.46484375" style="3" customWidth="1"/>
    <col min="15877" max="15877" width="7.53125" style="3" customWidth="1"/>
    <col min="15878" max="15878" width="7.19921875" style="3" customWidth="1"/>
    <col min="15879" max="15879" width="9.19921875" style="3"/>
    <col min="15880" max="15880" width="8.46484375" style="3" customWidth="1"/>
    <col min="15881" max="16122" width="9.19921875" style="3"/>
    <col min="16123" max="16123" width="5.19921875" style="3" customWidth="1"/>
    <col min="16124" max="16124" width="24.796875" style="3" customWidth="1"/>
    <col min="16125" max="16125" width="9.19921875" style="3"/>
    <col min="16126" max="16126" width="9.19921875" style="3" customWidth="1"/>
    <col min="16127" max="16127" width="7.796875" style="3" customWidth="1"/>
    <col min="16128" max="16128" width="9.19921875" style="3"/>
    <col min="16129" max="16129" width="8.19921875" style="3" customWidth="1"/>
    <col min="16130" max="16130" width="10.19921875" style="3" customWidth="1"/>
    <col min="16131" max="16131" width="6.53125" style="3" customWidth="1"/>
    <col min="16132" max="16132" width="7.46484375" style="3" customWidth="1"/>
    <col min="16133" max="16133" width="7.53125" style="3" customWidth="1"/>
    <col min="16134" max="16134" width="7.19921875" style="3" customWidth="1"/>
    <col min="16135" max="16135" width="9.19921875" style="3"/>
    <col min="16136" max="16136" width="8.46484375" style="3" customWidth="1"/>
    <col min="16137" max="16374" width="9.19921875" style="3"/>
    <col min="16375" max="16384" width="9.19921875" style="3" customWidth="1"/>
  </cols>
  <sheetData>
    <row r="1" spans="1:9">
      <c r="A1" s="1507" t="s">
        <v>1848</v>
      </c>
      <c r="B1" s="1507"/>
    </row>
    <row r="2" spans="1:9">
      <c r="A2" s="2164" t="str">
        <f>+'BS1'!A2</f>
        <v>NIDP DEVELOPERS PRIVATE LIMITED</v>
      </c>
      <c r="B2" s="2164"/>
      <c r="C2" s="2164"/>
      <c r="D2" s="2164"/>
      <c r="E2" s="2164"/>
      <c r="F2" s="2164"/>
      <c r="G2" s="2164"/>
      <c r="H2" s="2164"/>
    </row>
    <row r="3" spans="1:9">
      <c r="A3" s="105" t="s">
        <v>1266</v>
      </c>
      <c r="B3" s="105"/>
      <c r="C3" s="55"/>
      <c r="D3" s="55"/>
      <c r="E3" s="55"/>
      <c r="F3" s="55"/>
      <c r="G3" s="55"/>
      <c r="H3" s="55"/>
    </row>
    <row r="4" spans="1:9">
      <c r="A4" s="565"/>
      <c r="B4" s="566"/>
      <c r="C4" s="2177" t="s">
        <v>343</v>
      </c>
      <c r="D4" s="2177"/>
      <c r="E4" s="2177"/>
      <c r="F4" s="2177"/>
      <c r="G4" s="2177"/>
      <c r="H4" s="567"/>
    </row>
    <row r="5" spans="1:9" ht="45" customHeight="1">
      <c r="A5" s="1488" t="s">
        <v>74</v>
      </c>
      <c r="B5" s="1488" t="s">
        <v>10</v>
      </c>
      <c r="C5" s="1583" t="s">
        <v>260</v>
      </c>
      <c r="D5" s="1583" t="s">
        <v>261</v>
      </c>
      <c r="E5" s="1583" t="s">
        <v>262</v>
      </c>
      <c r="F5" s="1583" t="s">
        <v>263</v>
      </c>
      <c r="G5" s="1583" t="s">
        <v>264</v>
      </c>
      <c r="H5" s="1584" t="s">
        <v>265</v>
      </c>
    </row>
    <row r="6" spans="1:9">
      <c r="A6" s="1488"/>
      <c r="B6" s="1488"/>
      <c r="C6" s="1680"/>
      <c r="D6" s="1680"/>
      <c r="E6" s="1680"/>
      <c r="F6" s="1680"/>
      <c r="G6" s="1680"/>
      <c r="H6" s="1680"/>
    </row>
    <row r="7" spans="1:9">
      <c r="A7" s="83">
        <v>1</v>
      </c>
      <c r="B7" s="111" t="s">
        <v>266</v>
      </c>
      <c r="C7" s="1047"/>
      <c r="D7" s="1047">
        <f>+F31_Recievables!D13-D9</f>
        <v>30.108108086436971</v>
      </c>
      <c r="E7" s="1047">
        <f>+F31_Recievables!E13-E9</f>
        <v>27.330904886436969</v>
      </c>
      <c r="F7" s="1047">
        <f>+D7-E7</f>
        <v>2.7772032000000024</v>
      </c>
      <c r="G7" s="1047"/>
      <c r="H7" s="70"/>
    </row>
    <row r="8" spans="1:9">
      <c r="A8" s="83">
        <v>2</v>
      </c>
      <c r="B8" s="111" t="s">
        <v>267</v>
      </c>
      <c r="C8" s="1048"/>
      <c r="D8" s="1048"/>
      <c r="E8" s="1048"/>
      <c r="F8" s="1048"/>
      <c r="G8" s="1048"/>
      <c r="H8" s="70"/>
    </row>
    <row r="9" spans="1:9">
      <c r="A9" s="83">
        <v>3</v>
      </c>
      <c r="B9" s="111" t="s">
        <v>268</v>
      </c>
      <c r="C9" s="1048"/>
      <c r="D9" s="1048">
        <v>2.3884289817595539</v>
      </c>
      <c r="E9" s="1048">
        <v>2.3884289817595539</v>
      </c>
      <c r="F9" s="1047">
        <f>+D9-E9</f>
        <v>0</v>
      </c>
      <c r="G9" s="1048"/>
      <c r="H9" s="70"/>
      <c r="I9" s="10"/>
    </row>
    <row r="10" spans="1:9" ht="42.75">
      <c r="A10" s="83">
        <v>4</v>
      </c>
      <c r="B10" s="35" t="s">
        <v>705</v>
      </c>
      <c r="C10" s="1047"/>
      <c r="D10" s="1048"/>
      <c r="E10" s="1048"/>
      <c r="F10" s="1047"/>
      <c r="G10" s="1047"/>
      <c r="H10" s="70"/>
    </row>
    <row r="11" spans="1:9" ht="42.75">
      <c r="A11" s="83">
        <v>5</v>
      </c>
      <c r="B11" s="274" t="s">
        <v>704</v>
      </c>
      <c r="C11" s="1047"/>
      <c r="D11" s="1048"/>
      <c r="E11" s="1048"/>
      <c r="F11" s="1047"/>
      <c r="G11" s="1047"/>
      <c r="H11" s="70"/>
    </row>
    <row r="12" spans="1:9">
      <c r="A12" s="83">
        <v>6</v>
      </c>
      <c r="B12" s="273" t="s">
        <v>269</v>
      </c>
      <c r="C12" s="1048"/>
      <c r="D12" s="1048"/>
      <c r="E12" s="1048"/>
      <c r="F12" s="1048"/>
      <c r="G12" s="1048"/>
      <c r="H12" s="70"/>
    </row>
    <row r="13" spans="1:9" ht="28.5">
      <c r="A13" s="83">
        <v>7</v>
      </c>
      <c r="B13" s="111" t="s">
        <v>273</v>
      </c>
      <c r="C13" s="1048"/>
      <c r="D13" s="1048"/>
      <c r="E13" s="1048"/>
      <c r="F13" s="1048"/>
      <c r="G13" s="1048"/>
      <c r="H13" s="70"/>
    </row>
    <row r="14" spans="1:9">
      <c r="A14" s="83">
        <v>8</v>
      </c>
      <c r="B14" s="209" t="s">
        <v>270</v>
      </c>
      <c r="C14" s="1049">
        <f>SUM(C7:C12)-C13</f>
        <v>0</v>
      </c>
      <c r="D14" s="1049">
        <f t="shared" ref="D14:G14" si="0">SUM(D7:D12)-D13</f>
        <v>32.496537068196524</v>
      </c>
      <c r="E14" s="1049">
        <f t="shared" si="0"/>
        <v>29.719333868196522</v>
      </c>
      <c r="F14" s="1049">
        <f t="shared" si="0"/>
        <v>2.7772032000000024</v>
      </c>
      <c r="G14" s="1049">
        <f t="shared" si="0"/>
        <v>0</v>
      </c>
      <c r="H14" s="70"/>
    </row>
    <row r="15" spans="1:9">
      <c r="A15" s="89"/>
      <c r="B15" s="125"/>
      <c r="C15" s="1050"/>
      <c r="D15" s="1051"/>
      <c r="E15" s="1051"/>
      <c r="F15" s="1051"/>
      <c r="G15" s="1051"/>
      <c r="H15" s="90"/>
    </row>
    <row r="16" spans="1:9" ht="28.5">
      <c r="A16" s="83">
        <v>9</v>
      </c>
      <c r="B16" s="69" t="s">
        <v>271</v>
      </c>
      <c r="C16" s="1052"/>
      <c r="D16" s="1052"/>
      <c r="E16" s="1052"/>
      <c r="F16" s="1052"/>
      <c r="G16" s="1052"/>
      <c r="H16" s="70"/>
    </row>
    <row r="17" spans="1:8" ht="42.75">
      <c r="A17" s="83">
        <v>10</v>
      </c>
      <c r="B17" s="99" t="s">
        <v>707</v>
      </c>
      <c r="C17" s="70"/>
      <c r="D17" s="70"/>
      <c r="E17" s="70"/>
      <c r="F17" s="70"/>
      <c r="G17" s="70"/>
      <c r="H17" s="70"/>
    </row>
    <row r="18" spans="1:8">
      <c r="A18" s="81"/>
      <c r="B18" s="124"/>
      <c r="C18" s="88"/>
      <c r="D18" s="88"/>
      <c r="E18" s="88"/>
      <c r="F18" s="88"/>
      <c r="G18" s="88"/>
      <c r="H18" s="81"/>
    </row>
    <row r="19" spans="1:8">
      <c r="A19" s="81" t="s">
        <v>43</v>
      </c>
      <c r="B19" s="124"/>
      <c r="C19" s="88"/>
      <c r="D19" s="88"/>
      <c r="E19" s="88"/>
      <c r="F19" s="88"/>
      <c r="G19" s="88"/>
      <c r="H19" s="81"/>
    </row>
    <row r="20" spans="1:8">
      <c r="A20" s="2175" t="s">
        <v>1265</v>
      </c>
      <c r="B20" s="2176"/>
      <c r="C20" s="2176"/>
      <c r="D20" s="2176"/>
      <c r="E20" s="2176"/>
      <c r="F20" s="2176"/>
      <c r="G20" s="2176"/>
      <c r="H20" s="2176"/>
    </row>
    <row r="21" spans="1:8" ht="12.75" customHeight="1">
      <c r="A21" s="2175" t="s">
        <v>272</v>
      </c>
      <c r="B21" s="2176"/>
      <c r="C21" s="2176"/>
      <c r="D21" s="2176"/>
      <c r="E21" s="2176"/>
      <c r="F21" s="2176"/>
      <c r="G21" s="2176"/>
      <c r="H21" s="2176"/>
    </row>
    <row r="22" spans="1:8">
      <c r="A22" s="81"/>
      <c r="B22" s="126"/>
      <c r="C22" s="81"/>
      <c r="D22" s="81"/>
      <c r="E22" s="81"/>
      <c r="F22" s="81"/>
      <c r="G22" s="81"/>
      <c r="H22" s="14"/>
    </row>
    <row r="23" spans="1:8">
      <c r="A23" s="81"/>
      <c r="B23" s="126"/>
      <c r="C23" s="81"/>
      <c r="D23" s="81"/>
      <c r="E23" s="81"/>
      <c r="F23" s="81"/>
      <c r="G23" s="81"/>
      <c r="H23" s="81"/>
    </row>
    <row r="24" spans="1:8">
      <c r="A24" s="81"/>
      <c r="B24" s="126"/>
      <c r="C24" s="81"/>
      <c r="D24" s="81"/>
      <c r="E24" s="81"/>
      <c r="F24" s="81"/>
      <c r="G24" s="81"/>
      <c r="H24" s="81"/>
    </row>
    <row r="25" spans="1:8">
      <c r="A25" s="81"/>
      <c r="B25" s="126"/>
      <c r="C25" s="81"/>
      <c r="D25" s="81"/>
      <c r="E25" s="81"/>
      <c r="F25" s="81"/>
      <c r="G25" s="81"/>
      <c r="H25" s="81"/>
    </row>
    <row r="26" spans="1:8">
      <c r="A26" s="81"/>
      <c r="B26" s="126"/>
      <c r="C26" s="81"/>
      <c r="D26" s="81"/>
      <c r="E26" s="81"/>
      <c r="F26" s="81"/>
      <c r="G26" s="81"/>
      <c r="H26" s="81"/>
    </row>
    <row r="27" spans="1:8">
      <c r="A27" s="81"/>
      <c r="B27" s="126"/>
      <c r="C27" s="81"/>
      <c r="D27" s="81"/>
      <c r="E27" s="81"/>
      <c r="F27" s="81"/>
      <c r="G27" s="81"/>
      <c r="H27" s="81"/>
    </row>
  </sheetData>
  <mergeCells count="13">
    <mergeCell ref="A20:H20"/>
    <mergeCell ref="A21:H21"/>
    <mergeCell ref="B5:B6"/>
    <mergeCell ref="A5:A6"/>
    <mergeCell ref="A1:B1"/>
    <mergeCell ref="A2:H2"/>
    <mergeCell ref="H5:H6"/>
    <mergeCell ref="C4:G4"/>
    <mergeCell ref="C5:C6"/>
    <mergeCell ref="D5:D6"/>
    <mergeCell ref="E5:E6"/>
    <mergeCell ref="F5:F6"/>
    <mergeCell ref="G5:G6"/>
  </mergeCells>
  <pageMargins left="0.7" right="0.7" top="0.75" bottom="0.75" header="0.3" footer="0.3"/>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tabColor rgb="FF00FFFF"/>
    <pageSetUpPr fitToPage="1"/>
  </sheetPr>
  <dimension ref="A1:L21"/>
  <sheetViews>
    <sheetView showGridLines="0" topLeftCell="A6" zoomScale="85" zoomScaleNormal="85" zoomScaleSheetLayoutView="85" workbookViewId="0">
      <selection activeCell="G16" sqref="G16:H16"/>
    </sheetView>
  </sheetViews>
  <sheetFormatPr defaultColWidth="11.46484375" defaultRowHeight="14.25"/>
  <cols>
    <col min="1" max="1" width="8" style="91" customWidth="1"/>
    <col min="2" max="2" width="34.53125" style="123" customWidth="1"/>
    <col min="3" max="8" width="13.19921875" style="91" customWidth="1"/>
    <col min="9" max="255" width="11.46484375" style="91"/>
    <col min="256" max="256" width="9" style="91" customWidth="1"/>
    <col min="257" max="257" width="54.19921875" style="91" customWidth="1"/>
    <col min="258" max="259" width="13.53125" style="91" bestFit="1" customWidth="1"/>
    <col min="260" max="260" width="12.46484375" style="91" bestFit="1" customWidth="1"/>
    <col min="261" max="261" width="12.796875" style="91" bestFit="1" customWidth="1"/>
    <col min="262" max="511" width="11.46484375" style="91"/>
    <col min="512" max="512" width="9" style="91" customWidth="1"/>
    <col min="513" max="513" width="54.19921875" style="91" customWidth="1"/>
    <col min="514" max="515" width="13.53125" style="91" bestFit="1" customWidth="1"/>
    <col min="516" max="516" width="12.46484375" style="91" bestFit="1" customWidth="1"/>
    <col min="517" max="517" width="12.796875" style="91" bestFit="1" customWidth="1"/>
    <col min="518" max="767" width="11.46484375" style="91"/>
    <col min="768" max="768" width="9" style="91" customWidth="1"/>
    <col min="769" max="769" width="54.19921875" style="91" customWidth="1"/>
    <col min="770" max="771" width="13.53125" style="91" bestFit="1" customWidth="1"/>
    <col min="772" max="772" width="12.46484375" style="91" bestFit="1" customWidth="1"/>
    <col min="773" max="773" width="12.796875" style="91" bestFit="1" customWidth="1"/>
    <col min="774" max="1023" width="11.46484375" style="91"/>
    <col min="1024" max="1024" width="9" style="91" customWidth="1"/>
    <col min="1025" max="1025" width="54.19921875" style="91" customWidth="1"/>
    <col min="1026" max="1027" width="13.53125" style="91" bestFit="1" customWidth="1"/>
    <col min="1028" max="1028" width="12.46484375" style="91" bestFit="1" customWidth="1"/>
    <col min="1029" max="1029" width="12.796875" style="91" bestFit="1" customWidth="1"/>
    <col min="1030" max="1279" width="11.46484375" style="91"/>
    <col min="1280" max="1280" width="9" style="91" customWidth="1"/>
    <col min="1281" max="1281" width="54.19921875" style="91" customWidth="1"/>
    <col min="1282" max="1283" width="13.53125" style="91" bestFit="1" customWidth="1"/>
    <col min="1284" max="1284" width="12.46484375" style="91" bestFit="1" customWidth="1"/>
    <col min="1285" max="1285" width="12.796875" style="91" bestFit="1" customWidth="1"/>
    <col min="1286" max="1535" width="11.46484375" style="91"/>
    <col min="1536" max="1536" width="9" style="91" customWidth="1"/>
    <col min="1537" max="1537" width="54.19921875" style="91" customWidth="1"/>
    <col min="1538" max="1539" width="13.53125" style="91" bestFit="1" customWidth="1"/>
    <col min="1540" max="1540" width="12.46484375" style="91" bestFit="1" customWidth="1"/>
    <col min="1541" max="1541" width="12.796875" style="91" bestFit="1" customWidth="1"/>
    <col min="1542" max="1791" width="11.46484375" style="91"/>
    <col min="1792" max="1792" width="9" style="91" customWidth="1"/>
    <col min="1793" max="1793" width="54.19921875" style="91" customWidth="1"/>
    <col min="1794" max="1795" width="13.53125" style="91" bestFit="1" customWidth="1"/>
    <col min="1796" max="1796" width="12.46484375" style="91" bestFit="1" customWidth="1"/>
    <col min="1797" max="1797" width="12.796875" style="91" bestFit="1" customWidth="1"/>
    <col min="1798" max="2047" width="11.46484375" style="91"/>
    <col min="2048" max="2048" width="9" style="91" customWidth="1"/>
    <col min="2049" max="2049" width="54.19921875" style="91" customWidth="1"/>
    <col min="2050" max="2051" width="13.53125" style="91" bestFit="1" customWidth="1"/>
    <col min="2052" max="2052" width="12.46484375" style="91" bestFit="1" customWidth="1"/>
    <col min="2053" max="2053" width="12.796875" style="91" bestFit="1" customWidth="1"/>
    <col min="2054" max="2303" width="11.46484375" style="91"/>
    <col min="2304" max="2304" width="9" style="91" customWidth="1"/>
    <col min="2305" max="2305" width="54.19921875" style="91" customWidth="1"/>
    <col min="2306" max="2307" width="13.53125" style="91" bestFit="1" customWidth="1"/>
    <col min="2308" max="2308" width="12.46484375" style="91" bestFit="1" customWidth="1"/>
    <col min="2309" max="2309" width="12.796875" style="91" bestFit="1" customWidth="1"/>
    <col min="2310" max="2559" width="11.46484375" style="91"/>
    <col min="2560" max="2560" width="9" style="91" customWidth="1"/>
    <col min="2561" max="2561" width="54.19921875" style="91" customWidth="1"/>
    <col min="2562" max="2563" width="13.53125" style="91" bestFit="1" customWidth="1"/>
    <col min="2564" max="2564" width="12.46484375" style="91" bestFit="1" customWidth="1"/>
    <col min="2565" max="2565" width="12.796875" style="91" bestFit="1" customWidth="1"/>
    <col min="2566" max="2815" width="11.46484375" style="91"/>
    <col min="2816" max="2816" width="9" style="91" customWidth="1"/>
    <col min="2817" max="2817" width="54.19921875" style="91" customWidth="1"/>
    <col min="2818" max="2819" width="13.53125" style="91" bestFit="1" customWidth="1"/>
    <col min="2820" max="2820" width="12.46484375" style="91" bestFit="1" customWidth="1"/>
    <col min="2821" max="2821" width="12.796875" style="91" bestFit="1" customWidth="1"/>
    <col min="2822" max="3071" width="11.46484375" style="91"/>
    <col min="3072" max="3072" width="9" style="91" customWidth="1"/>
    <col min="3073" max="3073" width="54.19921875" style="91" customWidth="1"/>
    <col min="3074" max="3075" width="13.53125" style="91" bestFit="1" customWidth="1"/>
    <col min="3076" max="3076" width="12.46484375" style="91" bestFit="1" customWidth="1"/>
    <col min="3077" max="3077" width="12.796875" style="91" bestFit="1" customWidth="1"/>
    <col min="3078" max="3327" width="11.46484375" style="91"/>
    <col min="3328" max="3328" width="9" style="91" customWidth="1"/>
    <col min="3329" max="3329" width="54.19921875" style="91" customWidth="1"/>
    <col min="3330" max="3331" width="13.53125" style="91" bestFit="1" customWidth="1"/>
    <col min="3332" max="3332" width="12.46484375" style="91" bestFit="1" customWidth="1"/>
    <col min="3333" max="3333" width="12.796875" style="91" bestFit="1" customWidth="1"/>
    <col min="3334" max="3583" width="11.46484375" style="91"/>
    <col min="3584" max="3584" width="9" style="91" customWidth="1"/>
    <col min="3585" max="3585" width="54.19921875" style="91" customWidth="1"/>
    <col min="3586" max="3587" width="13.53125" style="91" bestFit="1" customWidth="1"/>
    <col min="3588" max="3588" width="12.46484375" style="91" bestFit="1" customWidth="1"/>
    <col min="3589" max="3589" width="12.796875" style="91" bestFit="1" customWidth="1"/>
    <col min="3590" max="3839" width="11.46484375" style="91"/>
    <col min="3840" max="3840" width="9" style="91" customWidth="1"/>
    <col min="3841" max="3841" width="54.19921875" style="91" customWidth="1"/>
    <col min="3842" max="3843" width="13.53125" style="91" bestFit="1" customWidth="1"/>
    <col min="3844" max="3844" width="12.46484375" style="91" bestFit="1" customWidth="1"/>
    <col min="3845" max="3845" width="12.796875" style="91" bestFit="1" customWidth="1"/>
    <col min="3846" max="4095" width="11.46484375" style="91"/>
    <col min="4096" max="4096" width="9" style="91" customWidth="1"/>
    <col min="4097" max="4097" width="54.19921875" style="91" customWidth="1"/>
    <col min="4098" max="4099" width="13.53125" style="91" bestFit="1" customWidth="1"/>
    <col min="4100" max="4100" width="12.46484375" style="91" bestFit="1" customWidth="1"/>
    <col min="4101" max="4101" width="12.796875" style="91" bestFit="1" customWidth="1"/>
    <col min="4102" max="4351" width="11.46484375" style="91"/>
    <col min="4352" max="4352" width="9" style="91" customWidth="1"/>
    <col min="4353" max="4353" width="54.19921875" style="91" customWidth="1"/>
    <col min="4354" max="4355" width="13.53125" style="91" bestFit="1" customWidth="1"/>
    <col min="4356" max="4356" width="12.46484375" style="91" bestFit="1" customWidth="1"/>
    <col min="4357" max="4357" width="12.796875" style="91" bestFit="1" customWidth="1"/>
    <col min="4358" max="4607" width="11.46484375" style="91"/>
    <col min="4608" max="4608" width="9" style="91" customWidth="1"/>
    <col min="4609" max="4609" width="54.19921875" style="91" customWidth="1"/>
    <col min="4610" max="4611" width="13.53125" style="91" bestFit="1" customWidth="1"/>
    <col min="4612" max="4612" width="12.46484375" style="91" bestFit="1" customWidth="1"/>
    <col min="4613" max="4613" width="12.796875" style="91" bestFit="1" customWidth="1"/>
    <col min="4614" max="4863" width="11.46484375" style="91"/>
    <col min="4864" max="4864" width="9" style="91" customWidth="1"/>
    <col min="4865" max="4865" width="54.19921875" style="91" customWidth="1"/>
    <col min="4866" max="4867" width="13.53125" style="91" bestFit="1" customWidth="1"/>
    <col min="4868" max="4868" width="12.46484375" style="91" bestFit="1" customWidth="1"/>
    <col min="4869" max="4869" width="12.796875" style="91" bestFit="1" customWidth="1"/>
    <col min="4870" max="5119" width="11.46484375" style="91"/>
    <col min="5120" max="5120" width="9" style="91" customWidth="1"/>
    <col min="5121" max="5121" width="54.19921875" style="91" customWidth="1"/>
    <col min="5122" max="5123" width="13.53125" style="91" bestFit="1" customWidth="1"/>
    <col min="5124" max="5124" width="12.46484375" style="91" bestFit="1" customWidth="1"/>
    <col min="5125" max="5125" width="12.796875" style="91" bestFit="1" customWidth="1"/>
    <col min="5126" max="5375" width="11.46484375" style="91"/>
    <col min="5376" max="5376" width="9" style="91" customWidth="1"/>
    <col min="5377" max="5377" width="54.19921875" style="91" customWidth="1"/>
    <col min="5378" max="5379" width="13.53125" style="91" bestFit="1" customWidth="1"/>
    <col min="5380" max="5380" width="12.46484375" style="91" bestFit="1" customWidth="1"/>
    <col min="5381" max="5381" width="12.796875" style="91" bestFit="1" customWidth="1"/>
    <col min="5382" max="5631" width="11.46484375" style="91"/>
    <col min="5632" max="5632" width="9" style="91" customWidth="1"/>
    <col min="5633" max="5633" width="54.19921875" style="91" customWidth="1"/>
    <col min="5634" max="5635" width="13.53125" style="91" bestFit="1" customWidth="1"/>
    <col min="5636" max="5636" width="12.46484375" style="91" bestFit="1" customWidth="1"/>
    <col min="5637" max="5637" width="12.796875" style="91" bestFit="1" customWidth="1"/>
    <col min="5638" max="5887" width="11.46484375" style="91"/>
    <col min="5888" max="5888" width="9" style="91" customWidth="1"/>
    <col min="5889" max="5889" width="54.19921875" style="91" customWidth="1"/>
    <col min="5890" max="5891" width="13.53125" style="91" bestFit="1" customWidth="1"/>
    <col min="5892" max="5892" width="12.46484375" style="91" bestFit="1" customWidth="1"/>
    <col min="5893" max="5893" width="12.796875" style="91" bestFit="1" customWidth="1"/>
    <col min="5894" max="6143" width="11.46484375" style="91"/>
    <col min="6144" max="6144" width="9" style="91" customWidth="1"/>
    <col min="6145" max="6145" width="54.19921875" style="91" customWidth="1"/>
    <col min="6146" max="6147" width="13.53125" style="91" bestFit="1" customWidth="1"/>
    <col min="6148" max="6148" width="12.46484375" style="91" bestFit="1" customWidth="1"/>
    <col min="6149" max="6149" width="12.796875" style="91" bestFit="1" customWidth="1"/>
    <col min="6150" max="6399" width="11.46484375" style="91"/>
    <col min="6400" max="6400" width="9" style="91" customWidth="1"/>
    <col min="6401" max="6401" width="54.19921875" style="91" customWidth="1"/>
    <col min="6402" max="6403" width="13.53125" style="91" bestFit="1" customWidth="1"/>
    <col min="6404" max="6404" width="12.46484375" style="91" bestFit="1" customWidth="1"/>
    <col min="6405" max="6405" width="12.796875" style="91" bestFit="1" customWidth="1"/>
    <col min="6406" max="6655" width="11.46484375" style="91"/>
    <col min="6656" max="6656" width="9" style="91" customWidth="1"/>
    <col min="6657" max="6657" width="54.19921875" style="91" customWidth="1"/>
    <col min="6658" max="6659" width="13.53125" style="91" bestFit="1" customWidth="1"/>
    <col min="6660" max="6660" width="12.46484375" style="91" bestFit="1" customWidth="1"/>
    <col min="6661" max="6661" width="12.796875" style="91" bestFit="1" customWidth="1"/>
    <col min="6662" max="6911" width="11.46484375" style="91"/>
    <col min="6912" max="6912" width="9" style="91" customWidth="1"/>
    <col min="6913" max="6913" width="54.19921875" style="91" customWidth="1"/>
    <col min="6914" max="6915" width="13.53125" style="91" bestFit="1" customWidth="1"/>
    <col min="6916" max="6916" width="12.46484375" style="91" bestFit="1" customWidth="1"/>
    <col min="6917" max="6917" width="12.796875" style="91" bestFit="1" customWidth="1"/>
    <col min="6918" max="7167" width="11.46484375" style="91"/>
    <col min="7168" max="7168" width="9" style="91" customWidth="1"/>
    <col min="7169" max="7169" width="54.19921875" style="91" customWidth="1"/>
    <col min="7170" max="7171" width="13.53125" style="91" bestFit="1" customWidth="1"/>
    <col min="7172" max="7172" width="12.46484375" style="91" bestFit="1" customWidth="1"/>
    <col min="7173" max="7173" width="12.796875" style="91" bestFit="1" customWidth="1"/>
    <col min="7174" max="7423" width="11.46484375" style="91"/>
    <col min="7424" max="7424" width="9" style="91" customWidth="1"/>
    <col min="7425" max="7425" width="54.19921875" style="91" customWidth="1"/>
    <col min="7426" max="7427" width="13.53125" style="91" bestFit="1" customWidth="1"/>
    <col min="7428" max="7428" width="12.46484375" style="91" bestFit="1" customWidth="1"/>
    <col min="7429" max="7429" width="12.796875" style="91" bestFit="1" customWidth="1"/>
    <col min="7430" max="7679" width="11.46484375" style="91"/>
    <col min="7680" max="7680" width="9" style="91" customWidth="1"/>
    <col min="7681" max="7681" width="54.19921875" style="91" customWidth="1"/>
    <col min="7682" max="7683" width="13.53125" style="91" bestFit="1" customWidth="1"/>
    <col min="7684" max="7684" width="12.46484375" style="91" bestFit="1" customWidth="1"/>
    <col min="7685" max="7685" width="12.796875" style="91" bestFit="1" customWidth="1"/>
    <col min="7686" max="7935" width="11.46484375" style="91"/>
    <col min="7936" max="7936" width="9" style="91" customWidth="1"/>
    <col min="7937" max="7937" width="54.19921875" style="91" customWidth="1"/>
    <col min="7938" max="7939" width="13.53125" style="91" bestFit="1" customWidth="1"/>
    <col min="7940" max="7940" width="12.46484375" style="91" bestFit="1" customWidth="1"/>
    <col min="7941" max="7941" width="12.796875" style="91" bestFit="1" customWidth="1"/>
    <col min="7942" max="8191" width="11.46484375" style="91"/>
    <col min="8192" max="8192" width="9" style="91" customWidth="1"/>
    <col min="8193" max="8193" width="54.19921875" style="91" customWidth="1"/>
    <col min="8194" max="8195" width="13.53125" style="91" bestFit="1" customWidth="1"/>
    <col min="8196" max="8196" width="12.46484375" style="91" bestFit="1" customWidth="1"/>
    <col min="8197" max="8197" width="12.796875" style="91" bestFit="1" customWidth="1"/>
    <col min="8198" max="8447" width="11.46484375" style="91"/>
    <col min="8448" max="8448" width="9" style="91" customWidth="1"/>
    <col min="8449" max="8449" width="54.19921875" style="91" customWidth="1"/>
    <col min="8450" max="8451" width="13.53125" style="91" bestFit="1" customWidth="1"/>
    <col min="8452" max="8452" width="12.46484375" style="91" bestFit="1" customWidth="1"/>
    <col min="8453" max="8453" width="12.796875" style="91" bestFit="1" customWidth="1"/>
    <col min="8454" max="8703" width="11.46484375" style="91"/>
    <col min="8704" max="8704" width="9" style="91" customWidth="1"/>
    <col min="8705" max="8705" width="54.19921875" style="91" customWidth="1"/>
    <col min="8706" max="8707" width="13.53125" style="91" bestFit="1" customWidth="1"/>
    <col min="8708" max="8708" width="12.46484375" style="91" bestFit="1" customWidth="1"/>
    <col min="8709" max="8709" width="12.796875" style="91" bestFit="1" customWidth="1"/>
    <col min="8710" max="8959" width="11.46484375" style="91"/>
    <col min="8960" max="8960" width="9" style="91" customWidth="1"/>
    <col min="8961" max="8961" width="54.19921875" style="91" customWidth="1"/>
    <col min="8962" max="8963" width="13.53125" style="91" bestFit="1" customWidth="1"/>
    <col min="8964" max="8964" width="12.46484375" style="91" bestFit="1" customWidth="1"/>
    <col min="8965" max="8965" width="12.796875" style="91" bestFit="1" customWidth="1"/>
    <col min="8966" max="9215" width="11.46484375" style="91"/>
    <col min="9216" max="9216" width="9" style="91" customWidth="1"/>
    <col min="9217" max="9217" width="54.19921875" style="91" customWidth="1"/>
    <col min="9218" max="9219" width="13.53125" style="91" bestFit="1" customWidth="1"/>
    <col min="9220" max="9220" width="12.46484375" style="91" bestFit="1" customWidth="1"/>
    <col min="9221" max="9221" width="12.796875" style="91" bestFit="1" customWidth="1"/>
    <col min="9222" max="9471" width="11.46484375" style="91"/>
    <col min="9472" max="9472" width="9" style="91" customWidth="1"/>
    <col min="9473" max="9473" width="54.19921875" style="91" customWidth="1"/>
    <col min="9474" max="9475" width="13.53125" style="91" bestFit="1" customWidth="1"/>
    <col min="9476" max="9476" width="12.46484375" style="91" bestFit="1" customWidth="1"/>
    <col min="9477" max="9477" width="12.796875" style="91" bestFit="1" customWidth="1"/>
    <col min="9478" max="9727" width="11.46484375" style="91"/>
    <col min="9728" max="9728" width="9" style="91" customWidth="1"/>
    <col min="9729" max="9729" width="54.19921875" style="91" customWidth="1"/>
    <col min="9730" max="9731" width="13.53125" style="91" bestFit="1" customWidth="1"/>
    <col min="9732" max="9732" width="12.46484375" style="91" bestFit="1" customWidth="1"/>
    <col min="9733" max="9733" width="12.796875" style="91" bestFit="1" customWidth="1"/>
    <col min="9734" max="9983" width="11.46484375" style="91"/>
    <col min="9984" max="9984" width="9" style="91" customWidth="1"/>
    <col min="9985" max="9985" width="54.19921875" style="91" customWidth="1"/>
    <col min="9986" max="9987" width="13.53125" style="91" bestFit="1" customWidth="1"/>
    <col min="9988" max="9988" width="12.46484375" style="91" bestFit="1" customWidth="1"/>
    <col min="9989" max="9989" width="12.796875" style="91" bestFit="1" customWidth="1"/>
    <col min="9990" max="10239" width="11.46484375" style="91"/>
    <col min="10240" max="10240" width="9" style="91" customWidth="1"/>
    <col min="10241" max="10241" width="54.19921875" style="91" customWidth="1"/>
    <col min="10242" max="10243" width="13.53125" style="91" bestFit="1" customWidth="1"/>
    <col min="10244" max="10244" width="12.46484375" style="91" bestFit="1" customWidth="1"/>
    <col min="10245" max="10245" width="12.796875" style="91" bestFit="1" customWidth="1"/>
    <col min="10246" max="10495" width="11.46484375" style="91"/>
    <col min="10496" max="10496" width="9" style="91" customWidth="1"/>
    <col min="10497" max="10497" width="54.19921875" style="91" customWidth="1"/>
    <col min="10498" max="10499" width="13.53125" style="91" bestFit="1" customWidth="1"/>
    <col min="10500" max="10500" width="12.46484375" style="91" bestFit="1" customWidth="1"/>
    <col min="10501" max="10501" width="12.796875" style="91" bestFit="1" customWidth="1"/>
    <col min="10502" max="10751" width="11.46484375" style="91"/>
    <col min="10752" max="10752" width="9" style="91" customWidth="1"/>
    <col min="10753" max="10753" width="54.19921875" style="91" customWidth="1"/>
    <col min="10754" max="10755" width="13.53125" style="91" bestFit="1" customWidth="1"/>
    <col min="10756" max="10756" width="12.46484375" style="91" bestFit="1" customWidth="1"/>
    <col min="10757" max="10757" width="12.796875" style="91" bestFit="1" customWidth="1"/>
    <col min="10758" max="11007" width="11.46484375" style="91"/>
    <col min="11008" max="11008" width="9" style="91" customWidth="1"/>
    <col min="11009" max="11009" width="54.19921875" style="91" customWidth="1"/>
    <col min="11010" max="11011" width="13.53125" style="91" bestFit="1" customWidth="1"/>
    <col min="11012" max="11012" width="12.46484375" style="91" bestFit="1" customWidth="1"/>
    <col min="11013" max="11013" width="12.796875" style="91" bestFit="1" customWidth="1"/>
    <col min="11014" max="11263" width="11.46484375" style="91"/>
    <col min="11264" max="11264" width="9" style="91" customWidth="1"/>
    <col min="11265" max="11265" width="54.19921875" style="91" customWidth="1"/>
    <col min="11266" max="11267" width="13.53125" style="91" bestFit="1" customWidth="1"/>
    <col min="11268" max="11268" width="12.46484375" style="91" bestFit="1" customWidth="1"/>
    <col min="11269" max="11269" width="12.796875" style="91" bestFit="1" customWidth="1"/>
    <col min="11270" max="11519" width="11.46484375" style="91"/>
    <col min="11520" max="11520" width="9" style="91" customWidth="1"/>
    <col min="11521" max="11521" width="54.19921875" style="91" customWidth="1"/>
    <col min="11522" max="11523" width="13.53125" style="91" bestFit="1" customWidth="1"/>
    <col min="11524" max="11524" width="12.46484375" style="91" bestFit="1" customWidth="1"/>
    <col min="11525" max="11525" width="12.796875" style="91" bestFit="1" customWidth="1"/>
    <col min="11526" max="11775" width="11.46484375" style="91"/>
    <col min="11776" max="11776" width="9" style="91" customWidth="1"/>
    <col min="11777" max="11777" width="54.19921875" style="91" customWidth="1"/>
    <col min="11778" max="11779" width="13.53125" style="91" bestFit="1" customWidth="1"/>
    <col min="11780" max="11780" width="12.46484375" style="91" bestFit="1" customWidth="1"/>
    <col min="11781" max="11781" width="12.796875" style="91" bestFit="1" customWidth="1"/>
    <col min="11782" max="12031" width="11.46484375" style="91"/>
    <col min="12032" max="12032" width="9" style="91" customWidth="1"/>
    <col min="12033" max="12033" width="54.19921875" style="91" customWidth="1"/>
    <col min="12034" max="12035" width="13.53125" style="91" bestFit="1" customWidth="1"/>
    <col min="12036" max="12036" width="12.46484375" style="91" bestFit="1" customWidth="1"/>
    <col min="12037" max="12037" width="12.796875" style="91" bestFit="1" customWidth="1"/>
    <col min="12038" max="12287" width="11.46484375" style="91"/>
    <col min="12288" max="12288" width="9" style="91" customWidth="1"/>
    <col min="12289" max="12289" width="54.19921875" style="91" customWidth="1"/>
    <col min="12290" max="12291" width="13.53125" style="91" bestFit="1" customWidth="1"/>
    <col min="12292" max="12292" width="12.46484375" style="91" bestFit="1" customWidth="1"/>
    <col min="12293" max="12293" width="12.796875" style="91" bestFit="1" customWidth="1"/>
    <col min="12294" max="12543" width="11.46484375" style="91"/>
    <col min="12544" max="12544" width="9" style="91" customWidth="1"/>
    <col min="12545" max="12545" width="54.19921875" style="91" customWidth="1"/>
    <col min="12546" max="12547" width="13.53125" style="91" bestFit="1" customWidth="1"/>
    <col min="12548" max="12548" width="12.46484375" style="91" bestFit="1" customWidth="1"/>
    <col min="12549" max="12549" width="12.796875" style="91" bestFit="1" customWidth="1"/>
    <col min="12550" max="12799" width="11.46484375" style="91"/>
    <col min="12800" max="12800" width="9" style="91" customWidth="1"/>
    <col min="12801" max="12801" width="54.19921875" style="91" customWidth="1"/>
    <col min="12802" max="12803" width="13.53125" style="91" bestFit="1" customWidth="1"/>
    <col min="12804" max="12804" width="12.46484375" style="91" bestFit="1" customWidth="1"/>
    <col min="12805" max="12805" width="12.796875" style="91" bestFit="1" customWidth="1"/>
    <col min="12806" max="13055" width="11.46484375" style="91"/>
    <col min="13056" max="13056" width="9" style="91" customWidth="1"/>
    <col min="13057" max="13057" width="54.19921875" style="91" customWidth="1"/>
    <col min="13058" max="13059" width="13.53125" style="91" bestFit="1" customWidth="1"/>
    <col min="13060" max="13060" width="12.46484375" style="91" bestFit="1" customWidth="1"/>
    <col min="13061" max="13061" width="12.796875" style="91" bestFit="1" customWidth="1"/>
    <col min="13062" max="13311" width="11.46484375" style="91"/>
    <col min="13312" max="13312" width="9" style="91" customWidth="1"/>
    <col min="13313" max="13313" width="54.19921875" style="91" customWidth="1"/>
    <col min="13314" max="13315" width="13.53125" style="91" bestFit="1" customWidth="1"/>
    <col min="13316" max="13316" width="12.46484375" style="91" bestFit="1" customWidth="1"/>
    <col min="13317" max="13317" width="12.796875" style="91" bestFit="1" customWidth="1"/>
    <col min="13318" max="13567" width="11.46484375" style="91"/>
    <col min="13568" max="13568" width="9" style="91" customWidth="1"/>
    <col min="13569" max="13569" width="54.19921875" style="91" customWidth="1"/>
    <col min="13570" max="13571" width="13.53125" style="91" bestFit="1" customWidth="1"/>
    <col min="13572" max="13572" width="12.46484375" style="91" bestFit="1" customWidth="1"/>
    <col min="13573" max="13573" width="12.796875" style="91" bestFit="1" customWidth="1"/>
    <col min="13574" max="13823" width="11.46484375" style="91"/>
    <col min="13824" max="13824" width="9" style="91" customWidth="1"/>
    <col min="13825" max="13825" width="54.19921875" style="91" customWidth="1"/>
    <col min="13826" max="13827" width="13.53125" style="91" bestFit="1" customWidth="1"/>
    <col min="13828" max="13828" width="12.46484375" style="91" bestFit="1" customWidth="1"/>
    <col min="13829" max="13829" width="12.796875" style="91" bestFit="1" customWidth="1"/>
    <col min="13830" max="14079" width="11.46484375" style="91"/>
    <col min="14080" max="14080" width="9" style="91" customWidth="1"/>
    <col min="14081" max="14081" width="54.19921875" style="91" customWidth="1"/>
    <col min="14082" max="14083" width="13.53125" style="91" bestFit="1" customWidth="1"/>
    <col min="14084" max="14084" width="12.46484375" style="91" bestFit="1" customWidth="1"/>
    <col min="14085" max="14085" width="12.796875" style="91" bestFit="1" customWidth="1"/>
    <col min="14086" max="14335" width="11.46484375" style="91"/>
    <col min="14336" max="14336" width="9" style="91" customWidth="1"/>
    <col min="14337" max="14337" width="54.19921875" style="91" customWidth="1"/>
    <col min="14338" max="14339" width="13.53125" style="91" bestFit="1" customWidth="1"/>
    <col min="14340" max="14340" width="12.46484375" style="91" bestFit="1" customWidth="1"/>
    <col min="14341" max="14341" width="12.796875" style="91" bestFit="1" customWidth="1"/>
    <col min="14342" max="14591" width="11.46484375" style="91"/>
    <col min="14592" max="14592" width="9" style="91" customWidth="1"/>
    <col min="14593" max="14593" width="54.19921875" style="91" customWidth="1"/>
    <col min="14594" max="14595" width="13.53125" style="91" bestFit="1" customWidth="1"/>
    <col min="14596" max="14596" width="12.46484375" style="91" bestFit="1" customWidth="1"/>
    <col min="14597" max="14597" width="12.796875" style="91" bestFit="1" customWidth="1"/>
    <col min="14598" max="14847" width="11.46484375" style="91"/>
    <col min="14848" max="14848" width="9" style="91" customWidth="1"/>
    <col min="14849" max="14849" width="54.19921875" style="91" customWidth="1"/>
    <col min="14850" max="14851" width="13.53125" style="91" bestFit="1" customWidth="1"/>
    <col min="14852" max="14852" width="12.46484375" style="91" bestFit="1" customWidth="1"/>
    <col min="14853" max="14853" width="12.796875" style="91" bestFit="1" customWidth="1"/>
    <col min="14854" max="15103" width="11.46484375" style="91"/>
    <col min="15104" max="15104" width="9" style="91" customWidth="1"/>
    <col min="15105" max="15105" width="54.19921875" style="91" customWidth="1"/>
    <col min="15106" max="15107" width="13.53125" style="91" bestFit="1" customWidth="1"/>
    <col min="15108" max="15108" width="12.46484375" style="91" bestFit="1" customWidth="1"/>
    <col min="15109" max="15109" width="12.796875" style="91" bestFit="1" customWidth="1"/>
    <col min="15110" max="15359" width="11.46484375" style="91"/>
    <col min="15360" max="15360" width="9" style="91" customWidth="1"/>
    <col min="15361" max="15361" width="54.19921875" style="91" customWidth="1"/>
    <col min="15362" max="15363" width="13.53125" style="91" bestFit="1" customWidth="1"/>
    <col min="15364" max="15364" width="12.46484375" style="91" bestFit="1" customWidth="1"/>
    <col min="15365" max="15365" width="12.796875" style="91" bestFit="1" customWidth="1"/>
    <col min="15366" max="15615" width="11.46484375" style="91"/>
    <col min="15616" max="15616" width="9" style="91" customWidth="1"/>
    <col min="15617" max="15617" width="54.19921875" style="91" customWidth="1"/>
    <col min="15618" max="15619" width="13.53125" style="91" bestFit="1" customWidth="1"/>
    <col min="15620" max="15620" width="12.46484375" style="91" bestFit="1" customWidth="1"/>
    <col min="15621" max="15621" width="12.796875" style="91" bestFit="1" customWidth="1"/>
    <col min="15622" max="15871" width="11.46484375" style="91"/>
    <col min="15872" max="15872" width="9" style="91" customWidth="1"/>
    <col min="15873" max="15873" width="54.19921875" style="91" customWidth="1"/>
    <col min="15874" max="15875" width="13.53125" style="91" bestFit="1" customWidth="1"/>
    <col min="15876" max="15876" width="12.46484375" style="91" bestFit="1" customWidth="1"/>
    <col min="15877" max="15877" width="12.796875" style="91" bestFit="1" customWidth="1"/>
    <col min="15878" max="16127" width="11.46484375" style="91"/>
    <col min="16128" max="16128" width="9" style="91" customWidth="1"/>
    <col min="16129" max="16129" width="54.19921875" style="91" customWidth="1"/>
    <col min="16130" max="16131" width="13.53125" style="91" bestFit="1" customWidth="1"/>
    <col min="16132" max="16132" width="12.46484375" style="91" bestFit="1" customWidth="1"/>
    <col min="16133" max="16133" width="12.796875" style="91" bestFit="1" customWidth="1"/>
    <col min="16134" max="16384" width="11.46484375" style="91"/>
  </cols>
  <sheetData>
    <row r="1" spans="1:12">
      <c r="A1" s="1507" t="s">
        <v>1847</v>
      </c>
      <c r="B1" s="1507"/>
    </row>
    <row r="2" spans="1:12" s="3" customFormat="1">
      <c r="A2" s="1487" t="str">
        <f>+'BS1'!A2</f>
        <v>NIDP DEVELOPERS PRIVATE LIMITED</v>
      </c>
      <c r="B2" s="1487"/>
      <c r="C2" s="1487"/>
      <c r="D2" s="1487"/>
      <c r="E2" s="1487"/>
      <c r="F2" s="1487"/>
      <c r="G2" s="1487"/>
      <c r="H2" s="1487"/>
      <c r="I2" s="34"/>
      <c r="J2" s="34"/>
      <c r="K2" s="34"/>
      <c r="L2" s="34"/>
    </row>
    <row r="3" spans="1:12" s="3" customFormat="1">
      <c r="A3" s="173" t="s">
        <v>156</v>
      </c>
      <c r="B3" s="173"/>
      <c r="C3" s="173"/>
      <c r="D3" s="173"/>
      <c r="E3" s="173"/>
      <c r="F3" s="173"/>
      <c r="G3" s="1582"/>
      <c r="H3" s="1582"/>
    </row>
    <row r="4" spans="1:12" s="3" customFormat="1">
      <c r="B4" s="73"/>
      <c r="C4" s="91"/>
      <c r="D4" s="91"/>
      <c r="E4" s="91"/>
      <c r="F4" s="91"/>
    </row>
    <row r="5" spans="1:12" s="3" customFormat="1">
      <c r="A5" s="1583" t="s">
        <v>8</v>
      </c>
      <c r="B5" s="2182" t="s">
        <v>535</v>
      </c>
      <c r="C5" s="2181" t="s">
        <v>275</v>
      </c>
      <c r="D5" s="2181"/>
      <c r="E5" s="2181"/>
      <c r="F5" s="2181"/>
      <c r="G5" s="2181"/>
      <c r="H5" s="2181"/>
      <c r="J5" s="94"/>
    </row>
    <row r="6" spans="1:12">
      <c r="A6" s="1584" t="s">
        <v>274</v>
      </c>
      <c r="B6" s="2183"/>
      <c r="C6" s="2178" t="s">
        <v>706</v>
      </c>
      <c r="D6" s="2178"/>
      <c r="E6" s="2178" t="s">
        <v>534</v>
      </c>
      <c r="F6" s="2178"/>
      <c r="G6" s="2178" t="s">
        <v>356</v>
      </c>
      <c r="H6" s="2178"/>
    </row>
    <row r="7" spans="1:12">
      <c r="A7" s="1584"/>
      <c r="B7" s="2183"/>
      <c r="C7" s="2179" t="s">
        <v>341</v>
      </c>
      <c r="D7" s="2180"/>
      <c r="E7" s="2179" t="s">
        <v>342</v>
      </c>
      <c r="F7" s="2180"/>
      <c r="G7" s="2179" t="s">
        <v>343</v>
      </c>
      <c r="H7" s="2180"/>
    </row>
    <row r="8" spans="1:12" ht="28.5">
      <c r="A8" s="1680"/>
      <c r="B8" s="2184"/>
      <c r="C8" s="156" t="s">
        <v>300</v>
      </c>
      <c r="D8" s="156" t="s">
        <v>301</v>
      </c>
      <c r="E8" s="156" t="s">
        <v>300</v>
      </c>
      <c r="F8" s="156" t="s">
        <v>301</v>
      </c>
      <c r="G8" s="156" t="s">
        <v>300</v>
      </c>
      <c r="H8" s="156" t="s">
        <v>301</v>
      </c>
    </row>
    <row r="9" spans="1:12">
      <c r="A9" s="92">
        <v>1</v>
      </c>
      <c r="B9" s="120" t="s">
        <v>276</v>
      </c>
      <c r="C9" s="2062" t="s">
        <v>2062</v>
      </c>
      <c r="D9" s="2063"/>
      <c r="E9" s="2063"/>
      <c r="F9" s="2064"/>
      <c r="G9" s="13"/>
      <c r="H9" s="13"/>
    </row>
    <row r="10" spans="1:12" ht="71.25">
      <c r="A10" s="92"/>
      <c r="B10" s="121" t="s">
        <v>277</v>
      </c>
      <c r="C10" s="2065"/>
      <c r="D10" s="2066"/>
      <c r="E10" s="2066"/>
      <c r="F10" s="2067"/>
      <c r="G10" s="6">
        <v>0</v>
      </c>
      <c r="H10" s="6">
        <v>0</v>
      </c>
    </row>
    <row r="11" spans="1:12">
      <c r="A11" s="92">
        <v>2</v>
      </c>
      <c r="B11" s="120" t="s">
        <v>278</v>
      </c>
      <c r="C11" s="2065"/>
      <c r="D11" s="2066"/>
      <c r="E11" s="2066"/>
      <c r="F11" s="2067"/>
      <c r="G11" s="11"/>
      <c r="H11" s="13"/>
    </row>
    <row r="12" spans="1:12" ht="99.75">
      <c r="A12" s="92"/>
      <c r="B12" s="121" t="s">
        <v>279</v>
      </c>
      <c r="C12" s="2065"/>
      <c r="D12" s="2066"/>
      <c r="E12" s="2066"/>
      <c r="F12" s="2067"/>
      <c r="G12" s="6">
        <v>0</v>
      </c>
      <c r="H12" s="6">
        <v>0</v>
      </c>
    </row>
    <row r="13" spans="1:12" ht="15" customHeight="1">
      <c r="A13" s="92">
        <v>3</v>
      </c>
      <c r="B13" s="120" t="s">
        <v>280</v>
      </c>
      <c r="C13" s="2065"/>
      <c r="D13" s="2066"/>
      <c r="E13" s="2066"/>
      <c r="F13" s="2067"/>
      <c r="G13" s="11"/>
      <c r="H13" s="13"/>
    </row>
    <row r="14" spans="1:12" ht="99.75">
      <c r="A14" s="92"/>
      <c r="B14" s="121" t="s">
        <v>281</v>
      </c>
      <c r="C14" s="2065"/>
      <c r="D14" s="2066"/>
      <c r="E14" s="2066"/>
      <c r="F14" s="2067"/>
      <c r="G14" s="6">
        <v>0</v>
      </c>
      <c r="H14" s="6">
        <v>0</v>
      </c>
    </row>
    <row r="15" spans="1:12" ht="15" hidden="1" customHeight="1">
      <c r="A15" s="92"/>
      <c r="B15" s="121"/>
      <c r="C15" s="2065"/>
      <c r="D15" s="2066"/>
      <c r="E15" s="2066"/>
      <c r="F15" s="2067"/>
      <c r="G15" s="11"/>
      <c r="H15" s="13"/>
    </row>
    <row r="16" spans="1:12" ht="15" customHeight="1">
      <c r="A16" s="92">
        <v>4</v>
      </c>
      <c r="B16" s="120" t="s">
        <v>282</v>
      </c>
      <c r="C16" s="2068"/>
      <c r="D16" s="2069"/>
      <c r="E16" s="2069"/>
      <c r="F16" s="2070"/>
      <c r="G16" s="6">
        <v>0</v>
      </c>
      <c r="H16" s="6">
        <v>0</v>
      </c>
    </row>
    <row r="17" spans="1:8" ht="15" hidden="1" customHeight="1">
      <c r="A17" s="92"/>
      <c r="B17" s="121"/>
      <c r="C17" s="11"/>
      <c r="D17" s="11"/>
      <c r="E17" s="11"/>
      <c r="F17" s="11"/>
      <c r="G17" s="11"/>
      <c r="H17" s="11"/>
    </row>
    <row r="18" spans="1:8">
      <c r="B18" s="122"/>
    </row>
    <row r="19" spans="1:8">
      <c r="B19" s="122"/>
      <c r="F19" s="1671"/>
      <c r="G19" s="1671"/>
      <c r="H19" s="1671"/>
    </row>
    <row r="20" spans="1:8">
      <c r="B20" s="122"/>
    </row>
    <row r="21" spans="1:8">
      <c r="B21" s="122"/>
    </row>
  </sheetData>
  <mergeCells count="14">
    <mergeCell ref="A1:B1"/>
    <mergeCell ref="F19:H19"/>
    <mergeCell ref="A2:H2"/>
    <mergeCell ref="G3:H3"/>
    <mergeCell ref="C6:D6"/>
    <mergeCell ref="C7:D7"/>
    <mergeCell ref="E6:F6"/>
    <mergeCell ref="E7:F7"/>
    <mergeCell ref="G6:H6"/>
    <mergeCell ref="G7:H7"/>
    <mergeCell ref="C5:H5"/>
    <mergeCell ref="B5:B8"/>
    <mergeCell ref="A5:A8"/>
    <mergeCell ref="C9:F16"/>
  </mergeCells>
  <pageMargins left="0.45" right="0.2" top="0.2" bottom="0.2" header="0" footer="0"/>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tabColor rgb="FF00FFFF"/>
    <pageSetUpPr fitToPage="1"/>
  </sheetPr>
  <dimension ref="A1:I28"/>
  <sheetViews>
    <sheetView topLeftCell="A4" zoomScale="82" zoomScaleNormal="82" zoomScaleSheetLayoutView="98" workbookViewId="0">
      <selection activeCell="J16" sqref="J16"/>
    </sheetView>
  </sheetViews>
  <sheetFormatPr defaultRowHeight="14.25"/>
  <cols>
    <col min="1" max="1" width="9.19921875" style="695"/>
    <col min="2" max="2" width="34.53125" style="695" customWidth="1"/>
    <col min="3" max="8" width="13.19921875" style="695" customWidth="1"/>
    <col min="9" max="9" width="16.86328125" style="695" customWidth="1"/>
    <col min="10" max="236" width="9.19921875" style="695"/>
    <col min="237" max="237" width="23.46484375" style="695" bestFit="1" customWidth="1"/>
    <col min="238" max="238" width="18.46484375" style="695" customWidth="1"/>
    <col min="239" max="239" width="15.19921875" style="695" customWidth="1"/>
    <col min="240" max="240" width="7" style="695" customWidth="1"/>
    <col min="241" max="241" width="18" style="695" customWidth="1"/>
    <col min="242" max="242" width="14.46484375" style="695" customWidth="1"/>
    <col min="243" max="243" width="7.19921875" style="695" customWidth="1"/>
    <col min="244" max="244" width="33.46484375" style="695" customWidth="1"/>
    <col min="245" max="492" width="9.19921875" style="695"/>
    <col min="493" max="493" width="23.46484375" style="695" bestFit="1" customWidth="1"/>
    <col min="494" max="494" width="18.46484375" style="695" customWidth="1"/>
    <col min="495" max="495" width="15.19921875" style="695" customWidth="1"/>
    <col min="496" max="496" width="7" style="695" customWidth="1"/>
    <col min="497" max="497" width="18" style="695" customWidth="1"/>
    <col min="498" max="498" width="14.46484375" style="695" customWidth="1"/>
    <col min="499" max="499" width="7.19921875" style="695" customWidth="1"/>
    <col min="500" max="500" width="33.46484375" style="695" customWidth="1"/>
    <col min="501" max="748" width="9.19921875" style="695"/>
    <col min="749" max="749" width="23.46484375" style="695" bestFit="1" customWidth="1"/>
    <col min="750" max="750" width="18.46484375" style="695" customWidth="1"/>
    <col min="751" max="751" width="15.19921875" style="695" customWidth="1"/>
    <col min="752" max="752" width="7" style="695" customWidth="1"/>
    <col min="753" max="753" width="18" style="695" customWidth="1"/>
    <col min="754" max="754" width="14.46484375" style="695" customWidth="1"/>
    <col min="755" max="755" width="7.19921875" style="695" customWidth="1"/>
    <col min="756" max="756" width="33.46484375" style="695" customWidth="1"/>
    <col min="757" max="1004" width="9.19921875" style="695"/>
    <col min="1005" max="1005" width="23.46484375" style="695" bestFit="1" customWidth="1"/>
    <col min="1006" max="1006" width="18.46484375" style="695" customWidth="1"/>
    <col min="1007" max="1007" width="15.19921875" style="695" customWidth="1"/>
    <col min="1008" max="1008" width="7" style="695" customWidth="1"/>
    <col min="1009" max="1009" width="18" style="695" customWidth="1"/>
    <col min="1010" max="1010" width="14.46484375" style="695" customWidth="1"/>
    <col min="1011" max="1011" width="7.19921875" style="695" customWidth="1"/>
    <col min="1012" max="1012" width="33.46484375" style="695" customWidth="1"/>
    <col min="1013" max="1260" width="9.19921875" style="695"/>
    <col min="1261" max="1261" width="23.46484375" style="695" bestFit="1" customWidth="1"/>
    <col min="1262" max="1262" width="18.46484375" style="695" customWidth="1"/>
    <col min="1263" max="1263" width="15.19921875" style="695" customWidth="1"/>
    <col min="1264" max="1264" width="7" style="695" customWidth="1"/>
    <col min="1265" max="1265" width="18" style="695" customWidth="1"/>
    <col min="1266" max="1266" width="14.46484375" style="695" customWidth="1"/>
    <col min="1267" max="1267" width="7.19921875" style="695" customWidth="1"/>
    <col min="1268" max="1268" width="33.46484375" style="695" customWidth="1"/>
    <col min="1269" max="1516" width="9.19921875" style="695"/>
    <col min="1517" max="1517" width="23.46484375" style="695" bestFit="1" customWidth="1"/>
    <col min="1518" max="1518" width="18.46484375" style="695" customWidth="1"/>
    <col min="1519" max="1519" width="15.19921875" style="695" customWidth="1"/>
    <col min="1520" max="1520" width="7" style="695" customWidth="1"/>
    <col min="1521" max="1521" width="18" style="695" customWidth="1"/>
    <col min="1522" max="1522" width="14.46484375" style="695" customWidth="1"/>
    <col min="1523" max="1523" width="7.19921875" style="695" customWidth="1"/>
    <col min="1524" max="1524" width="33.46484375" style="695" customWidth="1"/>
    <col min="1525" max="1772" width="9.19921875" style="695"/>
    <col min="1773" max="1773" width="23.46484375" style="695" bestFit="1" customWidth="1"/>
    <col min="1774" max="1774" width="18.46484375" style="695" customWidth="1"/>
    <col min="1775" max="1775" width="15.19921875" style="695" customWidth="1"/>
    <col min="1776" max="1776" width="7" style="695" customWidth="1"/>
    <col min="1777" max="1777" width="18" style="695" customWidth="1"/>
    <col min="1778" max="1778" width="14.46484375" style="695" customWidth="1"/>
    <col min="1779" max="1779" width="7.19921875" style="695" customWidth="1"/>
    <col min="1780" max="1780" width="33.46484375" style="695" customWidth="1"/>
    <col min="1781" max="2028" width="9.19921875" style="695"/>
    <col min="2029" max="2029" width="23.46484375" style="695" bestFit="1" customWidth="1"/>
    <col min="2030" max="2030" width="18.46484375" style="695" customWidth="1"/>
    <col min="2031" max="2031" width="15.19921875" style="695" customWidth="1"/>
    <col min="2032" max="2032" width="7" style="695" customWidth="1"/>
    <col min="2033" max="2033" width="18" style="695" customWidth="1"/>
    <col min="2034" max="2034" width="14.46484375" style="695" customWidth="1"/>
    <col min="2035" max="2035" width="7.19921875" style="695" customWidth="1"/>
    <col min="2036" max="2036" width="33.46484375" style="695" customWidth="1"/>
    <col min="2037" max="2284" width="9.19921875" style="695"/>
    <col min="2285" max="2285" width="23.46484375" style="695" bestFit="1" customWidth="1"/>
    <col min="2286" max="2286" width="18.46484375" style="695" customWidth="1"/>
    <col min="2287" max="2287" width="15.19921875" style="695" customWidth="1"/>
    <col min="2288" max="2288" width="7" style="695" customWidth="1"/>
    <col min="2289" max="2289" width="18" style="695" customWidth="1"/>
    <col min="2290" max="2290" width="14.46484375" style="695" customWidth="1"/>
    <col min="2291" max="2291" width="7.19921875" style="695" customWidth="1"/>
    <col min="2292" max="2292" width="33.46484375" style="695" customWidth="1"/>
    <col min="2293" max="2540" width="9.19921875" style="695"/>
    <col min="2541" max="2541" width="23.46484375" style="695" bestFit="1" customWidth="1"/>
    <col min="2542" max="2542" width="18.46484375" style="695" customWidth="1"/>
    <col min="2543" max="2543" width="15.19921875" style="695" customWidth="1"/>
    <col min="2544" max="2544" width="7" style="695" customWidth="1"/>
    <col min="2545" max="2545" width="18" style="695" customWidth="1"/>
    <col min="2546" max="2546" width="14.46484375" style="695" customWidth="1"/>
    <col min="2547" max="2547" width="7.19921875" style="695" customWidth="1"/>
    <col min="2548" max="2548" width="33.46484375" style="695" customWidth="1"/>
    <col min="2549" max="2796" width="9.19921875" style="695"/>
    <col min="2797" max="2797" width="23.46484375" style="695" bestFit="1" customWidth="1"/>
    <col min="2798" max="2798" width="18.46484375" style="695" customWidth="1"/>
    <col min="2799" max="2799" width="15.19921875" style="695" customWidth="1"/>
    <col min="2800" max="2800" width="7" style="695" customWidth="1"/>
    <col min="2801" max="2801" width="18" style="695" customWidth="1"/>
    <col min="2802" max="2802" width="14.46484375" style="695" customWidth="1"/>
    <col min="2803" max="2803" width="7.19921875" style="695" customWidth="1"/>
    <col min="2804" max="2804" width="33.46484375" style="695" customWidth="1"/>
    <col min="2805" max="3052" width="9.19921875" style="695"/>
    <col min="3053" max="3053" width="23.46484375" style="695" bestFit="1" customWidth="1"/>
    <col min="3054" max="3054" width="18.46484375" style="695" customWidth="1"/>
    <col min="3055" max="3055" width="15.19921875" style="695" customWidth="1"/>
    <col min="3056" max="3056" width="7" style="695" customWidth="1"/>
    <col min="3057" max="3057" width="18" style="695" customWidth="1"/>
    <col min="3058" max="3058" width="14.46484375" style="695" customWidth="1"/>
    <col min="3059" max="3059" width="7.19921875" style="695" customWidth="1"/>
    <col min="3060" max="3060" width="33.46484375" style="695" customWidth="1"/>
    <col min="3061" max="3308" width="9.19921875" style="695"/>
    <col min="3309" max="3309" width="23.46484375" style="695" bestFit="1" customWidth="1"/>
    <col min="3310" max="3310" width="18.46484375" style="695" customWidth="1"/>
    <col min="3311" max="3311" width="15.19921875" style="695" customWidth="1"/>
    <col min="3312" max="3312" width="7" style="695" customWidth="1"/>
    <col min="3313" max="3313" width="18" style="695" customWidth="1"/>
    <col min="3314" max="3314" width="14.46484375" style="695" customWidth="1"/>
    <col min="3315" max="3315" width="7.19921875" style="695" customWidth="1"/>
    <col min="3316" max="3316" width="33.46484375" style="695" customWidth="1"/>
    <col min="3317" max="3564" width="9.19921875" style="695"/>
    <col min="3565" max="3565" width="23.46484375" style="695" bestFit="1" customWidth="1"/>
    <col min="3566" max="3566" width="18.46484375" style="695" customWidth="1"/>
    <col min="3567" max="3567" width="15.19921875" style="695" customWidth="1"/>
    <col min="3568" max="3568" width="7" style="695" customWidth="1"/>
    <col min="3569" max="3569" width="18" style="695" customWidth="1"/>
    <col min="3570" max="3570" width="14.46484375" style="695" customWidth="1"/>
    <col min="3571" max="3571" width="7.19921875" style="695" customWidth="1"/>
    <col min="3572" max="3572" width="33.46484375" style="695" customWidth="1"/>
    <col min="3573" max="3820" width="9.19921875" style="695"/>
    <col min="3821" max="3821" width="23.46484375" style="695" bestFit="1" customWidth="1"/>
    <col min="3822" max="3822" width="18.46484375" style="695" customWidth="1"/>
    <col min="3823" max="3823" width="15.19921875" style="695" customWidth="1"/>
    <col min="3824" max="3824" width="7" style="695" customWidth="1"/>
    <col min="3825" max="3825" width="18" style="695" customWidth="1"/>
    <col min="3826" max="3826" width="14.46484375" style="695" customWidth="1"/>
    <col min="3827" max="3827" width="7.19921875" style="695" customWidth="1"/>
    <col min="3828" max="3828" width="33.46484375" style="695" customWidth="1"/>
    <col min="3829" max="4076" width="9.19921875" style="695"/>
    <col min="4077" max="4077" width="23.46484375" style="695" bestFit="1" customWidth="1"/>
    <col min="4078" max="4078" width="18.46484375" style="695" customWidth="1"/>
    <col min="4079" max="4079" width="15.19921875" style="695" customWidth="1"/>
    <col min="4080" max="4080" width="7" style="695" customWidth="1"/>
    <col min="4081" max="4081" width="18" style="695" customWidth="1"/>
    <col min="4082" max="4082" width="14.46484375" style="695" customWidth="1"/>
    <col min="4083" max="4083" width="7.19921875" style="695" customWidth="1"/>
    <col min="4084" max="4084" width="33.46484375" style="695" customWidth="1"/>
    <col min="4085" max="4332" width="9.19921875" style="695"/>
    <col min="4333" max="4333" width="23.46484375" style="695" bestFit="1" customWidth="1"/>
    <col min="4334" max="4334" width="18.46484375" style="695" customWidth="1"/>
    <col min="4335" max="4335" width="15.19921875" style="695" customWidth="1"/>
    <col min="4336" max="4336" width="7" style="695" customWidth="1"/>
    <col min="4337" max="4337" width="18" style="695" customWidth="1"/>
    <col min="4338" max="4338" width="14.46484375" style="695" customWidth="1"/>
    <col min="4339" max="4339" width="7.19921875" style="695" customWidth="1"/>
    <col min="4340" max="4340" width="33.46484375" style="695" customWidth="1"/>
    <col min="4341" max="4588" width="9.19921875" style="695"/>
    <col min="4589" max="4589" width="23.46484375" style="695" bestFit="1" customWidth="1"/>
    <col min="4590" max="4590" width="18.46484375" style="695" customWidth="1"/>
    <col min="4591" max="4591" width="15.19921875" style="695" customWidth="1"/>
    <col min="4592" max="4592" width="7" style="695" customWidth="1"/>
    <col min="4593" max="4593" width="18" style="695" customWidth="1"/>
    <col min="4594" max="4594" width="14.46484375" style="695" customWidth="1"/>
    <col min="4595" max="4595" width="7.19921875" style="695" customWidth="1"/>
    <col min="4596" max="4596" width="33.46484375" style="695" customWidth="1"/>
    <col min="4597" max="4844" width="9.19921875" style="695"/>
    <col min="4845" max="4845" width="23.46484375" style="695" bestFit="1" customWidth="1"/>
    <col min="4846" max="4846" width="18.46484375" style="695" customWidth="1"/>
    <col min="4847" max="4847" width="15.19921875" style="695" customWidth="1"/>
    <col min="4848" max="4848" width="7" style="695" customWidth="1"/>
    <col min="4849" max="4849" width="18" style="695" customWidth="1"/>
    <col min="4850" max="4850" width="14.46484375" style="695" customWidth="1"/>
    <col min="4851" max="4851" width="7.19921875" style="695" customWidth="1"/>
    <col min="4852" max="4852" width="33.46484375" style="695" customWidth="1"/>
    <col min="4853" max="5100" width="9.19921875" style="695"/>
    <col min="5101" max="5101" width="23.46484375" style="695" bestFit="1" customWidth="1"/>
    <col min="5102" max="5102" width="18.46484375" style="695" customWidth="1"/>
    <col min="5103" max="5103" width="15.19921875" style="695" customWidth="1"/>
    <col min="5104" max="5104" width="7" style="695" customWidth="1"/>
    <col min="5105" max="5105" width="18" style="695" customWidth="1"/>
    <col min="5106" max="5106" width="14.46484375" style="695" customWidth="1"/>
    <col min="5107" max="5107" width="7.19921875" style="695" customWidth="1"/>
    <col min="5108" max="5108" width="33.46484375" style="695" customWidth="1"/>
    <col min="5109" max="5356" width="9.19921875" style="695"/>
    <col min="5357" max="5357" width="23.46484375" style="695" bestFit="1" customWidth="1"/>
    <col min="5358" max="5358" width="18.46484375" style="695" customWidth="1"/>
    <col min="5359" max="5359" width="15.19921875" style="695" customWidth="1"/>
    <col min="5360" max="5360" width="7" style="695" customWidth="1"/>
    <col min="5361" max="5361" width="18" style="695" customWidth="1"/>
    <col min="5362" max="5362" width="14.46484375" style="695" customWidth="1"/>
    <col min="5363" max="5363" width="7.19921875" style="695" customWidth="1"/>
    <col min="5364" max="5364" width="33.46484375" style="695" customWidth="1"/>
    <col min="5365" max="5612" width="9.19921875" style="695"/>
    <col min="5613" max="5613" width="23.46484375" style="695" bestFit="1" customWidth="1"/>
    <col min="5614" max="5614" width="18.46484375" style="695" customWidth="1"/>
    <col min="5615" max="5615" width="15.19921875" style="695" customWidth="1"/>
    <col min="5616" max="5616" width="7" style="695" customWidth="1"/>
    <col min="5617" max="5617" width="18" style="695" customWidth="1"/>
    <col min="5618" max="5618" width="14.46484375" style="695" customWidth="1"/>
    <col min="5619" max="5619" width="7.19921875" style="695" customWidth="1"/>
    <col min="5620" max="5620" width="33.46484375" style="695" customWidth="1"/>
    <col min="5621" max="5868" width="9.19921875" style="695"/>
    <col min="5869" max="5869" width="23.46484375" style="695" bestFit="1" customWidth="1"/>
    <col min="5870" max="5870" width="18.46484375" style="695" customWidth="1"/>
    <col min="5871" max="5871" width="15.19921875" style="695" customWidth="1"/>
    <col min="5872" max="5872" width="7" style="695" customWidth="1"/>
    <col min="5873" max="5873" width="18" style="695" customWidth="1"/>
    <col min="5874" max="5874" width="14.46484375" style="695" customWidth="1"/>
    <col min="5875" max="5875" width="7.19921875" style="695" customWidth="1"/>
    <col min="5876" max="5876" width="33.46484375" style="695" customWidth="1"/>
    <col min="5877" max="6124" width="9.19921875" style="695"/>
    <col min="6125" max="6125" width="23.46484375" style="695" bestFit="1" customWidth="1"/>
    <col min="6126" max="6126" width="18.46484375" style="695" customWidth="1"/>
    <col min="6127" max="6127" width="15.19921875" style="695" customWidth="1"/>
    <col min="6128" max="6128" width="7" style="695" customWidth="1"/>
    <col min="6129" max="6129" width="18" style="695" customWidth="1"/>
    <col min="6130" max="6130" width="14.46484375" style="695" customWidth="1"/>
    <col min="6131" max="6131" width="7.19921875" style="695" customWidth="1"/>
    <col min="6132" max="6132" width="33.46484375" style="695" customWidth="1"/>
    <col min="6133" max="6380" width="9.19921875" style="695"/>
    <col min="6381" max="6381" width="23.46484375" style="695" bestFit="1" customWidth="1"/>
    <col min="6382" max="6382" width="18.46484375" style="695" customWidth="1"/>
    <col min="6383" max="6383" width="15.19921875" style="695" customWidth="1"/>
    <col min="6384" max="6384" width="7" style="695" customWidth="1"/>
    <col min="6385" max="6385" width="18" style="695" customWidth="1"/>
    <col min="6386" max="6386" width="14.46484375" style="695" customWidth="1"/>
    <col min="6387" max="6387" width="7.19921875" style="695" customWidth="1"/>
    <col min="6388" max="6388" width="33.46484375" style="695" customWidth="1"/>
    <col min="6389" max="6636" width="9.19921875" style="695"/>
    <col min="6637" max="6637" width="23.46484375" style="695" bestFit="1" customWidth="1"/>
    <col min="6638" max="6638" width="18.46484375" style="695" customWidth="1"/>
    <col min="6639" max="6639" width="15.19921875" style="695" customWidth="1"/>
    <col min="6640" max="6640" width="7" style="695" customWidth="1"/>
    <col min="6641" max="6641" width="18" style="695" customWidth="1"/>
    <col min="6642" max="6642" width="14.46484375" style="695" customWidth="1"/>
    <col min="6643" max="6643" width="7.19921875" style="695" customWidth="1"/>
    <col min="6644" max="6644" width="33.46484375" style="695" customWidth="1"/>
    <col min="6645" max="6892" width="9.19921875" style="695"/>
    <col min="6893" max="6893" width="23.46484375" style="695" bestFit="1" customWidth="1"/>
    <col min="6894" max="6894" width="18.46484375" style="695" customWidth="1"/>
    <col min="6895" max="6895" width="15.19921875" style="695" customWidth="1"/>
    <col min="6896" max="6896" width="7" style="695" customWidth="1"/>
    <col min="6897" max="6897" width="18" style="695" customWidth="1"/>
    <col min="6898" max="6898" width="14.46484375" style="695" customWidth="1"/>
    <col min="6899" max="6899" width="7.19921875" style="695" customWidth="1"/>
    <col min="6900" max="6900" width="33.46484375" style="695" customWidth="1"/>
    <col min="6901" max="7148" width="9.19921875" style="695"/>
    <col min="7149" max="7149" width="23.46484375" style="695" bestFit="1" customWidth="1"/>
    <col min="7150" max="7150" width="18.46484375" style="695" customWidth="1"/>
    <col min="7151" max="7151" width="15.19921875" style="695" customWidth="1"/>
    <col min="7152" max="7152" width="7" style="695" customWidth="1"/>
    <col min="7153" max="7153" width="18" style="695" customWidth="1"/>
    <col min="7154" max="7154" width="14.46484375" style="695" customWidth="1"/>
    <col min="7155" max="7155" width="7.19921875" style="695" customWidth="1"/>
    <col min="7156" max="7156" width="33.46484375" style="695" customWidth="1"/>
    <col min="7157" max="7404" width="9.19921875" style="695"/>
    <col min="7405" max="7405" width="23.46484375" style="695" bestFit="1" customWidth="1"/>
    <col min="7406" max="7406" width="18.46484375" style="695" customWidth="1"/>
    <col min="7407" max="7407" width="15.19921875" style="695" customWidth="1"/>
    <col min="7408" max="7408" width="7" style="695" customWidth="1"/>
    <col min="7409" max="7409" width="18" style="695" customWidth="1"/>
    <col min="7410" max="7410" width="14.46484375" style="695" customWidth="1"/>
    <col min="7411" max="7411" width="7.19921875" style="695" customWidth="1"/>
    <col min="7412" max="7412" width="33.46484375" style="695" customWidth="1"/>
    <col min="7413" max="7660" width="9.19921875" style="695"/>
    <col min="7661" max="7661" width="23.46484375" style="695" bestFit="1" customWidth="1"/>
    <col min="7662" max="7662" width="18.46484375" style="695" customWidth="1"/>
    <col min="7663" max="7663" width="15.19921875" style="695" customWidth="1"/>
    <col min="7664" max="7664" width="7" style="695" customWidth="1"/>
    <col min="7665" max="7665" width="18" style="695" customWidth="1"/>
    <col min="7666" max="7666" width="14.46484375" style="695" customWidth="1"/>
    <col min="7667" max="7667" width="7.19921875" style="695" customWidth="1"/>
    <col min="7668" max="7668" width="33.46484375" style="695" customWidth="1"/>
    <col min="7669" max="7916" width="9.19921875" style="695"/>
    <col min="7917" max="7917" width="23.46484375" style="695" bestFit="1" customWidth="1"/>
    <col min="7918" max="7918" width="18.46484375" style="695" customWidth="1"/>
    <col min="7919" max="7919" width="15.19921875" style="695" customWidth="1"/>
    <col min="7920" max="7920" width="7" style="695" customWidth="1"/>
    <col min="7921" max="7921" width="18" style="695" customWidth="1"/>
    <col min="7922" max="7922" width="14.46484375" style="695" customWidth="1"/>
    <col min="7923" max="7923" width="7.19921875" style="695" customWidth="1"/>
    <col min="7924" max="7924" width="33.46484375" style="695" customWidth="1"/>
    <col min="7925" max="8172" width="9.19921875" style="695"/>
    <col min="8173" max="8173" width="23.46484375" style="695" bestFit="1" customWidth="1"/>
    <col min="8174" max="8174" width="18.46484375" style="695" customWidth="1"/>
    <col min="8175" max="8175" width="15.19921875" style="695" customWidth="1"/>
    <col min="8176" max="8176" width="7" style="695" customWidth="1"/>
    <col min="8177" max="8177" width="18" style="695" customWidth="1"/>
    <col min="8178" max="8178" width="14.46484375" style="695" customWidth="1"/>
    <col min="8179" max="8179" width="7.19921875" style="695" customWidth="1"/>
    <col min="8180" max="8180" width="33.46484375" style="695" customWidth="1"/>
    <col min="8181" max="8428" width="9.19921875" style="695"/>
    <col min="8429" max="8429" width="23.46484375" style="695" bestFit="1" customWidth="1"/>
    <col min="8430" max="8430" width="18.46484375" style="695" customWidth="1"/>
    <col min="8431" max="8431" width="15.19921875" style="695" customWidth="1"/>
    <col min="8432" max="8432" width="7" style="695" customWidth="1"/>
    <col min="8433" max="8433" width="18" style="695" customWidth="1"/>
    <col min="8434" max="8434" width="14.46484375" style="695" customWidth="1"/>
    <col min="8435" max="8435" width="7.19921875" style="695" customWidth="1"/>
    <col min="8436" max="8436" width="33.46484375" style="695" customWidth="1"/>
    <col min="8437" max="8684" width="9.19921875" style="695"/>
    <col min="8685" max="8685" width="23.46484375" style="695" bestFit="1" customWidth="1"/>
    <col min="8686" max="8686" width="18.46484375" style="695" customWidth="1"/>
    <col min="8687" max="8687" width="15.19921875" style="695" customWidth="1"/>
    <col min="8688" max="8688" width="7" style="695" customWidth="1"/>
    <col min="8689" max="8689" width="18" style="695" customWidth="1"/>
    <col min="8690" max="8690" width="14.46484375" style="695" customWidth="1"/>
    <col min="8691" max="8691" width="7.19921875" style="695" customWidth="1"/>
    <col min="8692" max="8692" width="33.46484375" style="695" customWidth="1"/>
    <col min="8693" max="8940" width="9.19921875" style="695"/>
    <col min="8941" max="8941" width="23.46484375" style="695" bestFit="1" customWidth="1"/>
    <col min="8942" max="8942" width="18.46484375" style="695" customWidth="1"/>
    <col min="8943" max="8943" width="15.19921875" style="695" customWidth="1"/>
    <col min="8944" max="8944" width="7" style="695" customWidth="1"/>
    <col min="8945" max="8945" width="18" style="695" customWidth="1"/>
    <col min="8946" max="8946" width="14.46484375" style="695" customWidth="1"/>
    <col min="8947" max="8947" width="7.19921875" style="695" customWidth="1"/>
    <col min="8948" max="8948" width="33.46484375" style="695" customWidth="1"/>
    <col min="8949" max="9196" width="9.19921875" style="695"/>
    <col min="9197" max="9197" width="23.46484375" style="695" bestFit="1" customWidth="1"/>
    <col min="9198" max="9198" width="18.46484375" style="695" customWidth="1"/>
    <col min="9199" max="9199" width="15.19921875" style="695" customWidth="1"/>
    <col min="9200" max="9200" width="7" style="695" customWidth="1"/>
    <col min="9201" max="9201" width="18" style="695" customWidth="1"/>
    <col min="9202" max="9202" width="14.46484375" style="695" customWidth="1"/>
    <col min="9203" max="9203" width="7.19921875" style="695" customWidth="1"/>
    <col min="9204" max="9204" width="33.46484375" style="695" customWidth="1"/>
    <col min="9205" max="9452" width="9.19921875" style="695"/>
    <col min="9453" max="9453" width="23.46484375" style="695" bestFit="1" customWidth="1"/>
    <col min="9454" max="9454" width="18.46484375" style="695" customWidth="1"/>
    <col min="9455" max="9455" width="15.19921875" style="695" customWidth="1"/>
    <col min="9456" max="9456" width="7" style="695" customWidth="1"/>
    <col min="9457" max="9457" width="18" style="695" customWidth="1"/>
    <col min="9458" max="9458" width="14.46484375" style="695" customWidth="1"/>
    <col min="9459" max="9459" width="7.19921875" style="695" customWidth="1"/>
    <col min="9460" max="9460" width="33.46484375" style="695" customWidth="1"/>
    <col min="9461" max="9708" width="9.19921875" style="695"/>
    <col min="9709" max="9709" width="23.46484375" style="695" bestFit="1" customWidth="1"/>
    <col min="9710" max="9710" width="18.46484375" style="695" customWidth="1"/>
    <col min="9711" max="9711" width="15.19921875" style="695" customWidth="1"/>
    <col min="9712" max="9712" width="7" style="695" customWidth="1"/>
    <col min="9713" max="9713" width="18" style="695" customWidth="1"/>
    <col min="9714" max="9714" width="14.46484375" style="695" customWidth="1"/>
    <col min="9715" max="9715" width="7.19921875" style="695" customWidth="1"/>
    <col min="9716" max="9716" width="33.46484375" style="695" customWidth="1"/>
    <col min="9717" max="9964" width="9.19921875" style="695"/>
    <col min="9965" max="9965" width="23.46484375" style="695" bestFit="1" customWidth="1"/>
    <col min="9966" max="9966" width="18.46484375" style="695" customWidth="1"/>
    <col min="9967" max="9967" width="15.19921875" style="695" customWidth="1"/>
    <col min="9968" max="9968" width="7" style="695" customWidth="1"/>
    <col min="9969" max="9969" width="18" style="695" customWidth="1"/>
    <col min="9970" max="9970" width="14.46484375" style="695" customWidth="1"/>
    <col min="9971" max="9971" width="7.19921875" style="695" customWidth="1"/>
    <col min="9972" max="9972" width="33.46484375" style="695" customWidth="1"/>
    <col min="9973" max="10220" width="9.19921875" style="695"/>
    <col min="10221" max="10221" width="23.46484375" style="695" bestFit="1" customWidth="1"/>
    <col min="10222" max="10222" width="18.46484375" style="695" customWidth="1"/>
    <col min="10223" max="10223" width="15.19921875" style="695" customWidth="1"/>
    <col min="10224" max="10224" width="7" style="695" customWidth="1"/>
    <col min="10225" max="10225" width="18" style="695" customWidth="1"/>
    <col min="10226" max="10226" width="14.46484375" style="695" customWidth="1"/>
    <col min="10227" max="10227" width="7.19921875" style="695" customWidth="1"/>
    <col min="10228" max="10228" width="33.46484375" style="695" customWidth="1"/>
    <col min="10229" max="10476" width="9.19921875" style="695"/>
    <col min="10477" max="10477" width="23.46484375" style="695" bestFit="1" customWidth="1"/>
    <col min="10478" max="10478" width="18.46484375" style="695" customWidth="1"/>
    <col min="10479" max="10479" width="15.19921875" style="695" customWidth="1"/>
    <col min="10480" max="10480" width="7" style="695" customWidth="1"/>
    <col min="10481" max="10481" width="18" style="695" customWidth="1"/>
    <col min="10482" max="10482" width="14.46484375" style="695" customWidth="1"/>
    <col min="10483" max="10483" width="7.19921875" style="695" customWidth="1"/>
    <col min="10484" max="10484" width="33.46484375" style="695" customWidth="1"/>
    <col min="10485" max="10732" width="9.19921875" style="695"/>
    <col min="10733" max="10733" width="23.46484375" style="695" bestFit="1" customWidth="1"/>
    <col min="10734" max="10734" width="18.46484375" style="695" customWidth="1"/>
    <col min="10735" max="10735" width="15.19921875" style="695" customWidth="1"/>
    <col min="10736" max="10736" width="7" style="695" customWidth="1"/>
    <col min="10737" max="10737" width="18" style="695" customWidth="1"/>
    <col min="10738" max="10738" width="14.46484375" style="695" customWidth="1"/>
    <col min="10739" max="10739" width="7.19921875" style="695" customWidth="1"/>
    <col min="10740" max="10740" width="33.46484375" style="695" customWidth="1"/>
    <col min="10741" max="10988" width="9.19921875" style="695"/>
    <col min="10989" max="10989" width="23.46484375" style="695" bestFit="1" customWidth="1"/>
    <col min="10990" max="10990" width="18.46484375" style="695" customWidth="1"/>
    <col min="10991" max="10991" width="15.19921875" style="695" customWidth="1"/>
    <col min="10992" max="10992" width="7" style="695" customWidth="1"/>
    <col min="10993" max="10993" width="18" style="695" customWidth="1"/>
    <col min="10994" max="10994" width="14.46484375" style="695" customWidth="1"/>
    <col min="10995" max="10995" width="7.19921875" style="695" customWidth="1"/>
    <col min="10996" max="10996" width="33.46484375" style="695" customWidth="1"/>
    <col min="10997" max="11244" width="9.19921875" style="695"/>
    <col min="11245" max="11245" width="23.46484375" style="695" bestFit="1" customWidth="1"/>
    <col min="11246" max="11246" width="18.46484375" style="695" customWidth="1"/>
    <col min="11247" max="11247" width="15.19921875" style="695" customWidth="1"/>
    <col min="11248" max="11248" width="7" style="695" customWidth="1"/>
    <col min="11249" max="11249" width="18" style="695" customWidth="1"/>
    <col min="11250" max="11250" width="14.46484375" style="695" customWidth="1"/>
    <col min="11251" max="11251" width="7.19921875" style="695" customWidth="1"/>
    <col min="11252" max="11252" width="33.46484375" style="695" customWidth="1"/>
    <col min="11253" max="11500" width="9.19921875" style="695"/>
    <col min="11501" max="11501" width="23.46484375" style="695" bestFit="1" customWidth="1"/>
    <col min="11502" max="11502" width="18.46484375" style="695" customWidth="1"/>
    <col min="11503" max="11503" width="15.19921875" style="695" customWidth="1"/>
    <col min="11504" max="11504" width="7" style="695" customWidth="1"/>
    <col min="11505" max="11505" width="18" style="695" customWidth="1"/>
    <col min="11506" max="11506" width="14.46484375" style="695" customWidth="1"/>
    <col min="11507" max="11507" width="7.19921875" style="695" customWidth="1"/>
    <col min="11508" max="11508" width="33.46484375" style="695" customWidth="1"/>
    <col min="11509" max="11756" width="9.19921875" style="695"/>
    <col min="11757" max="11757" width="23.46484375" style="695" bestFit="1" customWidth="1"/>
    <col min="11758" max="11758" width="18.46484375" style="695" customWidth="1"/>
    <col min="11759" max="11759" width="15.19921875" style="695" customWidth="1"/>
    <col min="11760" max="11760" width="7" style="695" customWidth="1"/>
    <col min="11761" max="11761" width="18" style="695" customWidth="1"/>
    <col min="11762" max="11762" width="14.46484375" style="695" customWidth="1"/>
    <col min="11763" max="11763" width="7.19921875" style="695" customWidth="1"/>
    <col min="11764" max="11764" width="33.46484375" style="695" customWidth="1"/>
    <col min="11765" max="12012" width="9.19921875" style="695"/>
    <col min="12013" max="12013" width="23.46484375" style="695" bestFit="1" customWidth="1"/>
    <col min="12014" max="12014" width="18.46484375" style="695" customWidth="1"/>
    <col min="12015" max="12015" width="15.19921875" style="695" customWidth="1"/>
    <col min="12016" max="12016" width="7" style="695" customWidth="1"/>
    <col min="12017" max="12017" width="18" style="695" customWidth="1"/>
    <col min="12018" max="12018" width="14.46484375" style="695" customWidth="1"/>
    <col min="12019" max="12019" width="7.19921875" style="695" customWidth="1"/>
    <col min="12020" max="12020" width="33.46484375" style="695" customWidth="1"/>
    <col min="12021" max="12268" width="9.19921875" style="695"/>
    <col min="12269" max="12269" width="23.46484375" style="695" bestFit="1" customWidth="1"/>
    <col min="12270" max="12270" width="18.46484375" style="695" customWidth="1"/>
    <col min="12271" max="12271" width="15.19921875" style="695" customWidth="1"/>
    <col min="12272" max="12272" width="7" style="695" customWidth="1"/>
    <col min="12273" max="12273" width="18" style="695" customWidth="1"/>
    <col min="12274" max="12274" width="14.46484375" style="695" customWidth="1"/>
    <col min="12275" max="12275" width="7.19921875" style="695" customWidth="1"/>
    <col min="12276" max="12276" width="33.46484375" style="695" customWidth="1"/>
    <col min="12277" max="12524" width="9.19921875" style="695"/>
    <col min="12525" max="12525" width="23.46484375" style="695" bestFit="1" customWidth="1"/>
    <col min="12526" max="12526" width="18.46484375" style="695" customWidth="1"/>
    <col min="12527" max="12527" width="15.19921875" style="695" customWidth="1"/>
    <col min="12528" max="12528" width="7" style="695" customWidth="1"/>
    <col min="12529" max="12529" width="18" style="695" customWidth="1"/>
    <col min="12530" max="12530" width="14.46484375" style="695" customWidth="1"/>
    <col min="12531" max="12531" width="7.19921875" style="695" customWidth="1"/>
    <col min="12532" max="12532" width="33.46484375" style="695" customWidth="1"/>
    <col min="12533" max="12780" width="9.19921875" style="695"/>
    <col min="12781" max="12781" width="23.46484375" style="695" bestFit="1" customWidth="1"/>
    <col min="12782" max="12782" width="18.46484375" style="695" customWidth="1"/>
    <col min="12783" max="12783" width="15.19921875" style="695" customWidth="1"/>
    <col min="12784" max="12784" width="7" style="695" customWidth="1"/>
    <col min="12785" max="12785" width="18" style="695" customWidth="1"/>
    <col min="12786" max="12786" width="14.46484375" style="695" customWidth="1"/>
    <col min="12787" max="12787" width="7.19921875" style="695" customWidth="1"/>
    <col min="12788" max="12788" width="33.46484375" style="695" customWidth="1"/>
    <col min="12789" max="13036" width="9.19921875" style="695"/>
    <col min="13037" max="13037" width="23.46484375" style="695" bestFit="1" customWidth="1"/>
    <col min="13038" max="13038" width="18.46484375" style="695" customWidth="1"/>
    <col min="13039" max="13039" width="15.19921875" style="695" customWidth="1"/>
    <col min="13040" max="13040" width="7" style="695" customWidth="1"/>
    <col min="13041" max="13041" width="18" style="695" customWidth="1"/>
    <col min="13042" max="13042" width="14.46484375" style="695" customWidth="1"/>
    <col min="13043" max="13043" width="7.19921875" style="695" customWidth="1"/>
    <col min="13044" max="13044" width="33.46484375" style="695" customWidth="1"/>
    <col min="13045" max="13292" width="9.19921875" style="695"/>
    <col min="13293" max="13293" width="23.46484375" style="695" bestFit="1" customWidth="1"/>
    <col min="13294" max="13294" width="18.46484375" style="695" customWidth="1"/>
    <col min="13295" max="13295" width="15.19921875" style="695" customWidth="1"/>
    <col min="13296" max="13296" width="7" style="695" customWidth="1"/>
    <col min="13297" max="13297" width="18" style="695" customWidth="1"/>
    <col min="13298" max="13298" width="14.46484375" style="695" customWidth="1"/>
    <col min="13299" max="13299" width="7.19921875" style="695" customWidth="1"/>
    <col min="13300" max="13300" width="33.46484375" style="695" customWidth="1"/>
    <col min="13301" max="13548" width="9.19921875" style="695"/>
    <col min="13549" max="13549" width="23.46484375" style="695" bestFit="1" customWidth="1"/>
    <col min="13550" max="13550" width="18.46484375" style="695" customWidth="1"/>
    <col min="13551" max="13551" width="15.19921875" style="695" customWidth="1"/>
    <col min="13552" max="13552" width="7" style="695" customWidth="1"/>
    <col min="13553" max="13553" width="18" style="695" customWidth="1"/>
    <col min="13554" max="13554" width="14.46484375" style="695" customWidth="1"/>
    <col min="13555" max="13555" width="7.19921875" style="695" customWidth="1"/>
    <col min="13556" max="13556" width="33.46484375" style="695" customWidth="1"/>
    <col min="13557" max="13804" width="9.19921875" style="695"/>
    <col min="13805" max="13805" width="23.46484375" style="695" bestFit="1" customWidth="1"/>
    <col min="13806" max="13806" width="18.46484375" style="695" customWidth="1"/>
    <col min="13807" max="13807" width="15.19921875" style="695" customWidth="1"/>
    <col min="13808" max="13808" width="7" style="695" customWidth="1"/>
    <col min="13809" max="13809" width="18" style="695" customWidth="1"/>
    <col min="13810" max="13810" width="14.46484375" style="695" customWidth="1"/>
    <col min="13811" max="13811" width="7.19921875" style="695" customWidth="1"/>
    <col min="13812" max="13812" width="33.46484375" style="695" customWidth="1"/>
    <col min="13813" max="14060" width="9.19921875" style="695"/>
    <col min="14061" max="14061" width="23.46484375" style="695" bestFit="1" customWidth="1"/>
    <col min="14062" max="14062" width="18.46484375" style="695" customWidth="1"/>
    <col min="14063" max="14063" width="15.19921875" style="695" customWidth="1"/>
    <col min="14064" max="14064" width="7" style="695" customWidth="1"/>
    <col min="14065" max="14065" width="18" style="695" customWidth="1"/>
    <col min="14066" max="14066" width="14.46484375" style="695" customWidth="1"/>
    <col min="14067" max="14067" width="7.19921875" style="695" customWidth="1"/>
    <col min="14068" max="14068" width="33.46484375" style="695" customWidth="1"/>
    <col min="14069" max="14316" width="9.19921875" style="695"/>
    <col min="14317" max="14317" width="23.46484375" style="695" bestFit="1" customWidth="1"/>
    <col min="14318" max="14318" width="18.46484375" style="695" customWidth="1"/>
    <col min="14319" max="14319" width="15.19921875" style="695" customWidth="1"/>
    <col min="14320" max="14320" width="7" style="695" customWidth="1"/>
    <col min="14321" max="14321" width="18" style="695" customWidth="1"/>
    <col min="14322" max="14322" width="14.46484375" style="695" customWidth="1"/>
    <col min="14323" max="14323" width="7.19921875" style="695" customWidth="1"/>
    <col min="14324" max="14324" width="33.46484375" style="695" customWidth="1"/>
    <col min="14325" max="14572" width="9.19921875" style="695"/>
    <col min="14573" max="14573" width="23.46484375" style="695" bestFit="1" customWidth="1"/>
    <col min="14574" max="14574" width="18.46484375" style="695" customWidth="1"/>
    <col min="14575" max="14575" width="15.19921875" style="695" customWidth="1"/>
    <col min="14576" max="14576" width="7" style="695" customWidth="1"/>
    <col min="14577" max="14577" width="18" style="695" customWidth="1"/>
    <col min="14578" max="14578" width="14.46484375" style="695" customWidth="1"/>
    <col min="14579" max="14579" width="7.19921875" style="695" customWidth="1"/>
    <col min="14580" max="14580" width="33.46484375" style="695" customWidth="1"/>
    <col min="14581" max="14828" width="9.19921875" style="695"/>
    <col min="14829" max="14829" width="23.46484375" style="695" bestFit="1" customWidth="1"/>
    <col min="14830" max="14830" width="18.46484375" style="695" customWidth="1"/>
    <col min="14831" max="14831" width="15.19921875" style="695" customWidth="1"/>
    <col min="14832" max="14832" width="7" style="695" customWidth="1"/>
    <col min="14833" max="14833" width="18" style="695" customWidth="1"/>
    <col min="14834" max="14834" width="14.46484375" style="695" customWidth="1"/>
    <col min="14835" max="14835" width="7.19921875" style="695" customWidth="1"/>
    <col min="14836" max="14836" width="33.46484375" style="695" customWidth="1"/>
    <col min="14837" max="15084" width="9.19921875" style="695"/>
    <col min="15085" max="15085" width="23.46484375" style="695" bestFit="1" customWidth="1"/>
    <col min="15086" max="15086" width="18.46484375" style="695" customWidth="1"/>
    <col min="15087" max="15087" width="15.19921875" style="695" customWidth="1"/>
    <col min="15088" max="15088" width="7" style="695" customWidth="1"/>
    <col min="15089" max="15089" width="18" style="695" customWidth="1"/>
    <col min="15090" max="15090" width="14.46484375" style="695" customWidth="1"/>
    <col min="15091" max="15091" width="7.19921875" style="695" customWidth="1"/>
    <col min="15092" max="15092" width="33.46484375" style="695" customWidth="1"/>
    <col min="15093" max="15340" width="9.19921875" style="695"/>
    <col min="15341" max="15341" width="23.46484375" style="695" bestFit="1" customWidth="1"/>
    <col min="15342" max="15342" width="18.46484375" style="695" customWidth="1"/>
    <col min="15343" max="15343" width="15.19921875" style="695" customWidth="1"/>
    <col min="15344" max="15344" width="7" style="695" customWidth="1"/>
    <col min="15345" max="15345" width="18" style="695" customWidth="1"/>
    <col min="15346" max="15346" width="14.46484375" style="695" customWidth="1"/>
    <col min="15347" max="15347" width="7.19921875" style="695" customWidth="1"/>
    <col min="15348" max="15348" width="33.46484375" style="695" customWidth="1"/>
    <col min="15349" max="15596" width="9.19921875" style="695"/>
    <col min="15597" max="15597" width="23.46484375" style="695" bestFit="1" customWidth="1"/>
    <col min="15598" max="15598" width="18.46484375" style="695" customWidth="1"/>
    <col min="15599" max="15599" width="15.19921875" style="695" customWidth="1"/>
    <col min="15600" max="15600" width="7" style="695" customWidth="1"/>
    <col min="15601" max="15601" width="18" style="695" customWidth="1"/>
    <col min="15602" max="15602" width="14.46484375" style="695" customWidth="1"/>
    <col min="15603" max="15603" width="7.19921875" style="695" customWidth="1"/>
    <col min="15604" max="15604" width="33.46484375" style="695" customWidth="1"/>
    <col min="15605" max="15852" width="9.19921875" style="695"/>
    <col min="15853" max="15853" width="23.46484375" style="695" bestFit="1" customWidth="1"/>
    <col min="15854" max="15854" width="18.46484375" style="695" customWidth="1"/>
    <col min="15855" max="15855" width="15.19921875" style="695" customWidth="1"/>
    <col min="15856" max="15856" width="7" style="695" customWidth="1"/>
    <col min="15857" max="15857" width="18" style="695" customWidth="1"/>
    <col min="15858" max="15858" width="14.46484375" style="695" customWidth="1"/>
    <col min="15859" max="15859" width="7.19921875" style="695" customWidth="1"/>
    <col min="15860" max="15860" width="33.46484375" style="695" customWidth="1"/>
    <col min="15861" max="16108" width="9.19921875" style="695"/>
    <col min="16109" max="16109" width="23.46484375" style="695" bestFit="1" customWidth="1"/>
    <col min="16110" max="16110" width="18.46484375" style="695" customWidth="1"/>
    <col min="16111" max="16111" width="15.19921875" style="695" customWidth="1"/>
    <col min="16112" max="16112" width="7" style="695" customWidth="1"/>
    <col min="16113" max="16113" width="18" style="695" customWidth="1"/>
    <col min="16114" max="16114" width="14.46484375" style="695" customWidth="1"/>
    <col min="16115" max="16115" width="7.19921875" style="695" customWidth="1"/>
    <col min="16116" max="16116" width="33.46484375" style="695" customWidth="1"/>
    <col min="16117" max="16384" width="9.19921875" style="695"/>
  </cols>
  <sheetData>
    <row r="1" spans="1:9">
      <c r="A1" s="49" t="s">
        <v>1846</v>
      </c>
      <c r="D1" s="1053"/>
    </row>
    <row r="2" spans="1:9">
      <c r="A2" s="241" t="str">
        <f>+'BS1'!A2</f>
        <v>NIDP DEVELOPERS PRIVATE LIMITED</v>
      </c>
      <c r="B2" s="1054"/>
      <c r="C2" s="1054"/>
      <c r="D2" s="1054"/>
      <c r="E2" s="1054"/>
      <c r="F2" s="1054"/>
      <c r="G2" s="1054"/>
      <c r="H2" s="1054"/>
    </row>
    <row r="3" spans="1:9">
      <c r="A3" s="693" t="s">
        <v>151</v>
      </c>
      <c r="B3" s="693"/>
      <c r="C3" s="693"/>
      <c r="D3" s="693"/>
      <c r="E3" s="693"/>
      <c r="F3" s="2174"/>
      <c r="G3" s="2174"/>
      <c r="H3" s="694"/>
      <c r="I3" s="1039"/>
    </row>
    <row r="5" spans="1:9" s="49" customFormat="1" ht="12.75" customHeight="1">
      <c r="A5" s="1677" t="s">
        <v>8</v>
      </c>
      <c r="B5" s="1677" t="s">
        <v>10</v>
      </c>
      <c r="C5" s="2165" t="s">
        <v>703</v>
      </c>
      <c r="D5" s="2166"/>
      <c r="E5" s="2166"/>
      <c r="F5" s="2165" t="s">
        <v>358</v>
      </c>
      <c r="G5" s="2166"/>
      <c r="H5" s="2166"/>
      <c r="I5" s="1488" t="s">
        <v>293</v>
      </c>
    </row>
    <row r="6" spans="1:9" s="49" customFormat="1" ht="12.75" customHeight="1">
      <c r="A6" s="1678"/>
      <c r="B6" s="1678"/>
      <c r="C6" s="2165" t="s">
        <v>342</v>
      </c>
      <c r="D6" s="2166"/>
      <c r="E6" s="2167"/>
      <c r="F6" s="2165" t="s">
        <v>343</v>
      </c>
      <c r="G6" s="2166"/>
      <c r="H6" s="2167"/>
      <c r="I6" s="1488"/>
    </row>
    <row r="7" spans="1:9" ht="42.75">
      <c r="A7" s="1679"/>
      <c r="B7" s="1679"/>
      <c r="C7" s="146" t="s">
        <v>294</v>
      </c>
      <c r="D7" s="146" t="s">
        <v>295</v>
      </c>
      <c r="E7" s="146" t="s">
        <v>35</v>
      </c>
      <c r="F7" s="146" t="s">
        <v>294</v>
      </c>
      <c r="G7" s="146" t="s">
        <v>295</v>
      </c>
      <c r="H7" s="146" t="s">
        <v>35</v>
      </c>
      <c r="I7" s="1488"/>
    </row>
    <row r="8" spans="1:9">
      <c r="A8" s="6">
        <v>1</v>
      </c>
      <c r="B8" s="54" t="s">
        <v>296</v>
      </c>
      <c r="C8" s="1911" t="s">
        <v>2062</v>
      </c>
      <c r="D8" s="1912"/>
      <c r="E8" s="1913"/>
      <c r="F8" s="16"/>
      <c r="G8" s="16"/>
      <c r="H8" s="16"/>
      <c r="I8" s="8"/>
    </row>
    <row r="9" spans="1:9">
      <c r="A9" s="6"/>
      <c r="B9" s="54" t="s">
        <v>297</v>
      </c>
      <c r="C9" s="1914"/>
      <c r="D9" s="1915"/>
      <c r="E9" s="1916"/>
      <c r="F9" s="6"/>
      <c r="G9" s="6"/>
      <c r="H9" s="8"/>
      <c r="I9" s="8"/>
    </row>
    <row r="10" spans="1:9">
      <c r="A10" s="6"/>
      <c r="B10" s="54" t="s">
        <v>82</v>
      </c>
      <c r="C10" s="1914"/>
      <c r="D10" s="1915"/>
      <c r="E10" s="1916"/>
      <c r="F10" s="6">
        <v>0</v>
      </c>
      <c r="G10" s="6">
        <v>0</v>
      </c>
      <c r="H10" s="8"/>
      <c r="I10" s="8"/>
    </row>
    <row r="11" spans="1:9">
      <c r="A11" s="6"/>
      <c r="B11" s="54" t="s">
        <v>83</v>
      </c>
      <c r="C11" s="1914"/>
      <c r="D11" s="1915"/>
      <c r="E11" s="1916"/>
      <c r="F11" s="6">
        <v>0</v>
      </c>
      <c r="G11" s="6">
        <v>0</v>
      </c>
      <c r="H11" s="8"/>
      <c r="I11" s="8"/>
    </row>
    <row r="12" spans="1:9">
      <c r="A12" s="6"/>
      <c r="B12" s="54" t="s">
        <v>86</v>
      </c>
      <c r="C12" s="1914"/>
      <c r="D12" s="1915"/>
      <c r="E12" s="1916"/>
      <c r="F12" s="6">
        <v>0</v>
      </c>
      <c r="G12" s="6">
        <v>0</v>
      </c>
      <c r="H12" s="8"/>
      <c r="I12" s="8"/>
    </row>
    <row r="13" spans="1:9">
      <c r="A13" s="6"/>
      <c r="B13" s="54" t="s">
        <v>217</v>
      </c>
      <c r="C13" s="1914"/>
      <c r="D13" s="1915"/>
      <c r="E13" s="1916"/>
      <c r="F13" s="6">
        <v>0</v>
      </c>
      <c r="G13" s="6">
        <v>0</v>
      </c>
      <c r="H13" s="8"/>
      <c r="I13" s="8"/>
    </row>
    <row r="14" spans="1:9">
      <c r="A14" s="6"/>
      <c r="B14" s="54" t="s">
        <v>218</v>
      </c>
      <c r="C14" s="1914"/>
      <c r="D14" s="1915"/>
      <c r="E14" s="1916"/>
      <c r="F14" s="6">
        <v>0</v>
      </c>
      <c r="G14" s="6">
        <v>0</v>
      </c>
      <c r="H14" s="8"/>
      <c r="I14" s="8"/>
    </row>
    <row r="15" spans="1:9">
      <c r="A15" s="6"/>
      <c r="B15" s="54"/>
      <c r="C15" s="1914"/>
      <c r="D15" s="1915"/>
      <c r="E15" s="1916"/>
      <c r="F15" s="6"/>
      <c r="G15" s="6"/>
      <c r="H15" s="8"/>
      <c r="I15" s="8"/>
    </row>
    <row r="16" spans="1:9">
      <c r="A16" s="6">
        <v>2</v>
      </c>
      <c r="B16" s="54" t="s">
        <v>298</v>
      </c>
      <c r="C16" s="1914"/>
      <c r="D16" s="1915"/>
      <c r="E16" s="1916"/>
      <c r="F16" s="6">
        <v>3</v>
      </c>
      <c r="G16" s="6">
        <v>0</v>
      </c>
      <c r="H16" s="8"/>
      <c r="I16" s="8"/>
    </row>
    <row r="17" spans="1:9">
      <c r="A17" s="6"/>
      <c r="B17" s="54" t="s">
        <v>2219</v>
      </c>
      <c r="C17" s="1914"/>
      <c r="D17" s="1915"/>
      <c r="E17" s="1916"/>
      <c r="F17" s="6">
        <v>55</v>
      </c>
      <c r="G17" s="6">
        <v>0</v>
      </c>
      <c r="H17" s="8"/>
      <c r="I17" s="8"/>
    </row>
    <row r="18" spans="1:9">
      <c r="A18" s="8"/>
      <c r="B18" s="54" t="s">
        <v>82</v>
      </c>
      <c r="C18" s="1914"/>
      <c r="D18" s="1915"/>
      <c r="E18" s="1916"/>
      <c r="F18" s="6">
        <v>0</v>
      </c>
      <c r="G18" s="6">
        <v>0</v>
      </c>
      <c r="H18" s="8"/>
      <c r="I18" s="8"/>
    </row>
    <row r="19" spans="1:9">
      <c r="A19" s="8"/>
      <c r="B19" s="54" t="s">
        <v>83</v>
      </c>
      <c r="C19" s="1914"/>
      <c r="D19" s="1915"/>
      <c r="E19" s="1916"/>
      <c r="F19" s="6">
        <v>0</v>
      </c>
      <c r="G19" s="6">
        <v>0</v>
      </c>
      <c r="H19" s="8"/>
      <c r="I19" s="8"/>
    </row>
    <row r="20" spans="1:9">
      <c r="A20" s="8"/>
      <c r="B20" s="54" t="s">
        <v>86</v>
      </c>
      <c r="C20" s="1914"/>
      <c r="D20" s="1915"/>
      <c r="E20" s="1916"/>
      <c r="F20" s="6">
        <v>0</v>
      </c>
      <c r="G20" s="6">
        <v>0</v>
      </c>
      <c r="H20" s="8"/>
      <c r="I20" s="8"/>
    </row>
    <row r="21" spans="1:9">
      <c r="A21" s="8"/>
      <c r="B21" s="54" t="s">
        <v>217</v>
      </c>
      <c r="C21" s="1914"/>
      <c r="D21" s="1915"/>
      <c r="E21" s="1916"/>
      <c r="F21" s="6">
        <v>0</v>
      </c>
      <c r="G21" s="6">
        <v>0</v>
      </c>
      <c r="H21" s="8"/>
      <c r="I21" s="8"/>
    </row>
    <row r="22" spans="1:9">
      <c r="A22" s="8"/>
      <c r="B22" s="54" t="s">
        <v>218</v>
      </c>
      <c r="C22" s="1914"/>
      <c r="D22" s="1915"/>
      <c r="E22" s="1916"/>
      <c r="F22" s="6">
        <v>0</v>
      </c>
      <c r="G22" s="6">
        <v>0</v>
      </c>
      <c r="H22" s="8"/>
      <c r="I22" s="8"/>
    </row>
    <row r="23" spans="1:9">
      <c r="A23" s="8"/>
      <c r="B23" s="54"/>
      <c r="C23" s="1914"/>
      <c r="D23" s="1915"/>
      <c r="E23" s="1916"/>
      <c r="F23" s="6"/>
      <c r="G23" s="6"/>
      <c r="H23" s="8"/>
      <c r="I23" s="8"/>
    </row>
    <row r="24" spans="1:9">
      <c r="A24" s="8"/>
      <c r="B24" s="8"/>
      <c r="C24" s="1914"/>
      <c r="D24" s="1915"/>
      <c r="E24" s="1916"/>
      <c r="F24" s="8"/>
      <c r="G24" s="8"/>
      <c r="H24" s="8"/>
      <c r="I24" s="8"/>
    </row>
    <row r="25" spans="1:9">
      <c r="A25" s="8"/>
      <c r="B25" s="8"/>
      <c r="C25" s="1914"/>
      <c r="D25" s="1915"/>
      <c r="E25" s="1916"/>
      <c r="F25" s="8"/>
      <c r="G25" s="8"/>
      <c r="H25" s="8"/>
      <c r="I25" s="8"/>
    </row>
    <row r="26" spans="1:9">
      <c r="A26" s="8"/>
      <c r="B26" s="8"/>
      <c r="C26" s="1914"/>
      <c r="D26" s="1915"/>
      <c r="E26" s="1916"/>
      <c r="F26" s="8"/>
      <c r="G26" s="8"/>
      <c r="H26" s="8"/>
      <c r="I26" s="8"/>
    </row>
    <row r="27" spans="1:9">
      <c r="A27" s="8"/>
      <c r="B27" s="8"/>
      <c r="C27" s="1914"/>
      <c r="D27" s="1915"/>
      <c r="E27" s="1916"/>
      <c r="F27" s="4"/>
      <c r="G27" s="4"/>
      <c r="H27" s="4"/>
      <c r="I27" s="8"/>
    </row>
    <row r="28" spans="1:9">
      <c r="A28" s="8"/>
      <c r="B28" s="8"/>
      <c r="C28" s="1917"/>
      <c r="D28" s="1918"/>
      <c r="E28" s="1919"/>
      <c r="F28" s="8"/>
      <c r="G28" s="8"/>
      <c r="H28" s="8"/>
      <c r="I28" s="8"/>
    </row>
  </sheetData>
  <mergeCells count="9">
    <mergeCell ref="A5:A7"/>
    <mergeCell ref="B5:B7"/>
    <mergeCell ref="F6:H6"/>
    <mergeCell ref="C5:E5"/>
    <mergeCell ref="C8:E28"/>
    <mergeCell ref="I5:I7"/>
    <mergeCell ref="F3:G3"/>
    <mergeCell ref="F5:H5"/>
    <mergeCell ref="C6:E6"/>
  </mergeCells>
  <pageMargins left="0.7" right="0.7" top="0.75" bottom="0.75" header="0.3" footer="0.3"/>
  <pageSetup paperSize="9" scale="93"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tabColor rgb="FF00FFFF"/>
    <pageSetUpPr fitToPage="1"/>
  </sheetPr>
  <dimension ref="A1:F20"/>
  <sheetViews>
    <sheetView view="pageBreakPreview" zoomScale="118" zoomScaleNormal="100" zoomScaleSheetLayoutView="118" workbookViewId="0">
      <selection activeCell="H15" sqref="H15"/>
    </sheetView>
  </sheetViews>
  <sheetFormatPr defaultRowHeight="14.25"/>
  <cols>
    <col min="1" max="1" width="6.796875" style="3" customWidth="1"/>
    <col min="2" max="2" width="34.19921875" style="3" customWidth="1"/>
    <col min="3" max="3" width="11.796875" style="3" customWidth="1"/>
    <col min="4" max="4" width="13" style="3" customWidth="1"/>
    <col min="5" max="5" width="11.796875" style="3" customWidth="1"/>
    <col min="6" max="6" width="13" style="3" customWidth="1"/>
    <col min="7" max="247" width="9.19921875" style="3"/>
    <col min="248" max="248" width="6.796875" style="3" customWidth="1"/>
    <col min="249" max="249" width="23" style="3" customWidth="1"/>
    <col min="250" max="252" width="8.19921875" style="3" bestFit="1" customWidth="1"/>
    <col min="253" max="253" width="8.19921875" style="3" customWidth="1"/>
    <col min="254" max="254" width="6.46484375" style="3" bestFit="1" customWidth="1"/>
    <col min="255" max="258" width="8.19921875" style="3" bestFit="1" customWidth="1"/>
    <col min="259" max="259" width="6.46484375" style="3" bestFit="1" customWidth="1"/>
    <col min="260" max="260" width="21.796875" style="3" customWidth="1"/>
    <col min="261" max="503" width="9.19921875" style="3"/>
    <col min="504" max="504" width="6.796875" style="3" customWidth="1"/>
    <col min="505" max="505" width="23" style="3" customWidth="1"/>
    <col min="506" max="508" width="8.19921875" style="3" bestFit="1" customWidth="1"/>
    <col min="509" max="509" width="8.19921875" style="3" customWidth="1"/>
    <col min="510" max="510" width="6.46484375" style="3" bestFit="1" customWidth="1"/>
    <col min="511" max="514" width="8.19921875" style="3" bestFit="1" customWidth="1"/>
    <col min="515" max="515" width="6.46484375" style="3" bestFit="1" customWidth="1"/>
    <col min="516" max="516" width="21.796875" style="3" customWidth="1"/>
    <col min="517" max="759" width="9.19921875" style="3"/>
    <col min="760" max="760" width="6.796875" style="3" customWidth="1"/>
    <col min="761" max="761" width="23" style="3" customWidth="1"/>
    <col min="762" max="764" width="8.19921875" style="3" bestFit="1" customWidth="1"/>
    <col min="765" max="765" width="8.19921875" style="3" customWidth="1"/>
    <col min="766" max="766" width="6.46484375" style="3" bestFit="1" customWidth="1"/>
    <col min="767" max="770" width="8.19921875" style="3" bestFit="1" customWidth="1"/>
    <col min="771" max="771" width="6.46484375" style="3" bestFit="1" customWidth="1"/>
    <col min="772" max="772" width="21.796875" style="3" customWidth="1"/>
    <col min="773" max="1015" width="9.19921875" style="3"/>
    <col min="1016" max="1016" width="6.796875" style="3" customWidth="1"/>
    <col min="1017" max="1017" width="23" style="3" customWidth="1"/>
    <col min="1018" max="1020" width="8.19921875" style="3" bestFit="1" customWidth="1"/>
    <col min="1021" max="1021" width="8.19921875" style="3" customWidth="1"/>
    <col min="1022" max="1022" width="6.46484375" style="3" bestFit="1" customWidth="1"/>
    <col min="1023" max="1026" width="8.19921875" style="3" bestFit="1" customWidth="1"/>
    <col min="1027" max="1027" width="6.46484375" style="3" bestFit="1" customWidth="1"/>
    <col min="1028" max="1028" width="21.796875" style="3" customWidth="1"/>
    <col min="1029" max="1271" width="9.19921875" style="3"/>
    <col min="1272" max="1272" width="6.796875" style="3" customWidth="1"/>
    <col min="1273" max="1273" width="23" style="3" customWidth="1"/>
    <col min="1274" max="1276" width="8.19921875" style="3" bestFit="1" customWidth="1"/>
    <col min="1277" max="1277" width="8.19921875" style="3" customWidth="1"/>
    <col min="1278" max="1278" width="6.46484375" style="3" bestFit="1" customWidth="1"/>
    <col min="1279" max="1282" width="8.19921875" style="3" bestFit="1" customWidth="1"/>
    <col min="1283" max="1283" width="6.46484375" style="3" bestFit="1" customWidth="1"/>
    <col min="1284" max="1284" width="21.796875" style="3" customWidth="1"/>
    <col min="1285" max="1527" width="9.19921875" style="3"/>
    <col min="1528" max="1528" width="6.796875" style="3" customWidth="1"/>
    <col min="1529" max="1529" width="23" style="3" customWidth="1"/>
    <col min="1530" max="1532" width="8.19921875" style="3" bestFit="1" customWidth="1"/>
    <col min="1533" max="1533" width="8.19921875" style="3" customWidth="1"/>
    <col min="1534" max="1534" width="6.46484375" style="3" bestFit="1" customWidth="1"/>
    <col min="1535" max="1538" width="8.19921875" style="3" bestFit="1" customWidth="1"/>
    <col min="1539" max="1539" width="6.46484375" style="3" bestFit="1" customWidth="1"/>
    <col min="1540" max="1540" width="21.796875" style="3" customWidth="1"/>
    <col min="1541" max="1783" width="9.19921875" style="3"/>
    <col min="1784" max="1784" width="6.796875" style="3" customWidth="1"/>
    <col min="1785" max="1785" width="23" style="3" customWidth="1"/>
    <col min="1786" max="1788" width="8.19921875" style="3" bestFit="1" customWidth="1"/>
    <col min="1789" max="1789" width="8.19921875" style="3" customWidth="1"/>
    <col min="1790" max="1790" width="6.46484375" style="3" bestFit="1" customWidth="1"/>
    <col min="1791" max="1794" width="8.19921875" style="3" bestFit="1" customWidth="1"/>
    <col min="1795" max="1795" width="6.46484375" style="3" bestFit="1" customWidth="1"/>
    <col min="1796" max="1796" width="21.796875" style="3" customWidth="1"/>
    <col min="1797" max="2039" width="9.19921875" style="3"/>
    <col min="2040" max="2040" width="6.796875" style="3" customWidth="1"/>
    <col min="2041" max="2041" width="23" style="3" customWidth="1"/>
    <col min="2042" max="2044" width="8.19921875" style="3" bestFit="1" customWidth="1"/>
    <col min="2045" max="2045" width="8.19921875" style="3" customWidth="1"/>
    <col min="2046" max="2046" width="6.46484375" style="3" bestFit="1" customWidth="1"/>
    <col min="2047" max="2050" width="8.19921875" style="3" bestFit="1" customWidth="1"/>
    <col min="2051" max="2051" width="6.46484375" style="3" bestFit="1" customWidth="1"/>
    <col min="2052" max="2052" width="21.796875" style="3" customWidth="1"/>
    <col min="2053" max="2295" width="9.19921875" style="3"/>
    <col min="2296" max="2296" width="6.796875" style="3" customWidth="1"/>
    <col min="2297" max="2297" width="23" style="3" customWidth="1"/>
    <col min="2298" max="2300" width="8.19921875" style="3" bestFit="1" customWidth="1"/>
    <col min="2301" max="2301" width="8.19921875" style="3" customWidth="1"/>
    <col min="2302" max="2302" width="6.46484375" style="3" bestFit="1" customWidth="1"/>
    <col min="2303" max="2306" width="8.19921875" style="3" bestFit="1" customWidth="1"/>
    <col min="2307" max="2307" width="6.46484375" style="3" bestFit="1" customWidth="1"/>
    <col min="2308" max="2308" width="21.796875" style="3" customWidth="1"/>
    <col min="2309" max="2551" width="9.19921875" style="3"/>
    <col min="2552" max="2552" width="6.796875" style="3" customWidth="1"/>
    <col min="2553" max="2553" width="23" style="3" customWidth="1"/>
    <col min="2554" max="2556" width="8.19921875" style="3" bestFit="1" customWidth="1"/>
    <col min="2557" max="2557" width="8.19921875" style="3" customWidth="1"/>
    <col min="2558" max="2558" width="6.46484375" style="3" bestFit="1" customWidth="1"/>
    <col min="2559" max="2562" width="8.19921875" style="3" bestFit="1" customWidth="1"/>
    <col min="2563" max="2563" width="6.46484375" style="3" bestFit="1" customWidth="1"/>
    <col min="2564" max="2564" width="21.796875" style="3" customWidth="1"/>
    <col min="2565" max="2807" width="9.19921875" style="3"/>
    <col min="2808" max="2808" width="6.796875" style="3" customWidth="1"/>
    <col min="2809" max="2809" width="23" style="3" customWidth="1"/>
    <col min="2810" max="2812" width="8.19921875" style="3" bestFit="1" customWidth="1"/>
    <col min="2813" max="2813" width="8.19921875" style="3" customWidth="1"/>
    <col min="2814" max="2814" width="6.46484375" style="3" bestFit="1" customWidth="1"/>
    <col min="2815" max="2818" width="8.19921875" style="3" bestFit="1" customWidth="1"/>
    <col min="2819" max="2819" width="6.46484375" style="3" bestFit="1" customWidth="1"/>
    <col min="2820" max="2820" width="21.796875" style="3" customWidth="1"/>
    <col min="2821" max="3063" width="9.19921875" style="3"/>
    <col min="3064" max="3064" width="6.796875" style="3" customWidth="1"/>
    <col min="3065" max="3065" width="23" style="3" customWidth="1"/>
    <col min="3066" max="3068" width="8.19921875" style="3" bestFit="1" customWidth="1"/>
    <col min="3069" max="3069" width="8.19921875" style="3" customWidth="1"/>
    <col min="3070" max="3070" width="6.46484375" style="3" bestFit="1" customWidth="1"/>
    <col min="3071" max="3074" width="8.19921875" style="3" bestFit="1" customWidth="1"/>
    <col min="3075" max="3075" width="6.46484375" style="3" bestFit="1" customWidth="1"/>
    <col min="3076" max="3076" width="21.796875" style="3" customWidth="1"/>
    <col min="3077" max="3319" width="9.19921875" style="3"/>
    <col min="3320" max="3320" width="6.796875" style="3" customWidth="1"/>
    <col min="3321" max="3321" width="23" style="3" customWidth="1"/>
    <col min="3322" max="3324" width="8.19921875" style="3" bestFit="1" customWidth="1"/>
    <col min="3325" max="3325" width="8.19921875" style="3" customWidth="1"/>
    <col min="3326" max="3326" width="6.46484375" style="3" bestFit="1" customWidth="1"/>
    <col min="3327" max="3330" width="8.19921875" style="3" bestFit="1" customWidth="1"/>
    <col min="3331" max="3331" width="6.46484375" style="3" bestFit="1" customWidth="1"/>
    <col min="3332" max="3332" width="21.796875" style="3" customWidth="1"/>
    <col min="3333" max="3575" width="9.19921875" style="3"/>
    <col min="3576" max="3576" width="6.796875" style="3" customWidth="1"/>
    <col min="3577" max="3577" width="23" style="3" customWidth="1"/>
    <col min="3578" max="3580" width="8.19921875" style="3" bestFit="1" customWidth="1"/>
    <col min="3581" max="3581" width="8.19921875" style="3" customWidth="1"/>
    <col min="3582" max="3582" width="6.46484375" style="3" bestFit="1" customWidth="1"/>
    <col min="3583" max="3586" width="8.19921875" style="3" bestFit="1" customWidth="1"/>
    <col min="3587" max="3587" width="6.46484375" style="3" bestFit="1" customWidth="1"/>
    <col min="3588" max="3588" width="21.796875" style="3" customWidth="1"/>
    <col min="3589" max="3831" width="9.19921875" style="3"/>
    <col min="3832" max="3832" width="6.796875" style="3" customWidth="1"/>
    <col min="3833" max="3833" width="23" style="3" customWidth="1"/>
    <col min="3834" max="3836" width="8.19921875" style="3" bestFit="1" customWidth="1"/>
    <col min="3837" max="3837" width="8.19921875" style="3" customWidth="1"/>
    <col min="3838" max="3838" width="6.46484375" style="3" bestFit="1" customWidth="1"/>
    <col min="3839" max="3842" width="8.19921875" style="3" bestFit="1" customWidth="1"/>
    <col min="3843" max="3843" width="6.46484375" style="3" bestFit="1" customWidth="1"/>
    <col min="3844" max="3844" width="21.796875" style="3" customWidth="1"/>
    <col min="3845" max="4087" width="9.19921875" style="3"/>
    <col min="4088" max="4088" width="6.796875" style="3" customWidth="1"/>
    <col min="4089" max="4089" width="23" style="3" customWidth="1"/>
    <col min="4090" max="4092" width="8.19921875" style="3" bestFit="1" customWidth="1"/>
    <col min="4093" max="4093" width="8.19921875" style="3" customWidth="1"/>
    <col min="4094" max="4094" width="6.46484375" style="3" bestFit="1" customWidth="1"/>
    <col min="4095" max="4098" width="8.19921875" style="3" bestFit="1" customWidth="1"/>
    <col min="4099" max="4099" width="6.46484375" style="3" bestFit="1" customWidth="1"/>
    <col min="4100" max="4100" width="21.796875" style="3" customWidth="1"/>
    <col min="4101" max="4343" width="9.19921875" style="3"/>
    <col min="4344" max="4344" width="6.796875" style="3" customWidth="1"/>
    <col min="4345" max="4345" width="23" style="3" customWidth="1"/>
    <col min="4346" max="4348" width="8.19921875" style="3" bestFit="1" customWidth="1"/>
    <col min="4349" max="4349" width="8.19921875" style="3" customWidth="1"/>
    <col min="4350" max="4350" width="6.46484375" style="3" bestFit="1" customWidth="1"/>
    <col min="4351" max="4354" width="8.19921875" style="3" bestFit="1" customWidth="1"/>
    <col min="4355" max="4355" width="6.46484375" style="3" bestFit="1" customWidth="1"/>
    <col min="4356" max="4356" width="21.796875" style="3" customWidth="1"/>
    <col min="4357" max="4599" width="9.19921875" style="3"/>
    <col min="4600" max="4600" width="6.796875" style="3" customWidth="1"/>
    <col min="4601" max="4601" width="23" style="3" customWidth="1"/>
    <col min="4602" max="4604" width="8.19921875" style="3" bestFit="1" customWidth="1"/>
    <col min="4605" max="4605" width="8.19921875" style="3" customWidth="1"/>
    <col min="4606" max="4606" width="6.46484375" style="3" bestFit="1" customWidth="1"/>
    <col min="4607" max="4610" width="8.19921875" style="3" bestFit="1" customWidth="1"/>
    <col min="4611" max="4611" width="6.46484375" style="3" bestFit="1" customWidth="1"/>
    <col min="4612" max="4612" width="21.796875" style="3" customWidth="1"/>
    <col min="4613" max="4855" width="9.19921875" style="3"/>
    <col min="4856" max="4856" width="6.796875" style="3" customWidth="1"/>
    <col min="4857" max="4857" width="23" style="3" customWidth="1"/>
    <col min="4858" max="4860" width="8.19921875" style="3" bestFit="1" customWidth="1"/>
    <col min="4861" max="4861" width="8.19921875" style="3" customWidth="1"/>
    <col min="4862" max="4862" width="6.46484375" style="3" bestFit="1" customWidth="1"/>
    <col min="4863" max="4866" width="8.19921875" style="3" bestFit="1" customWidth="1"/>
    <col min="4867" max="4867" width="6.46484375" style="3" bestFit="1" customWidth="1"/>
    <col min="4868" max="4868" width="21.796875" style="3" customWidth="1"/>
    <col min="4869" max="5111" width="9.19921875" style="3"/>
    <col min="5112" max="5112" width="6.796875" style="3" customWidth="1"/>
    <col min="5113" max="5113" width="23" style="3" customWidth="1"/>
    <col min="5114" max="5116" width="8.19921875" style="3" bestFit="1" customWidth="1"/>
    <col min="5117" max="5117" width="8.19921875" style="3" customWidth="1"/>
    <col min="5118" max="5118" width="6.46484375" style="3" bestFit="1" customWidth="1"/>
    <col min="5119" max="5122" width="8.19921875" style="3" bestFit="1" customWidth="1"/>
    <col min="5123" max="5123" width="6.46484375" style="3" bestFit="1" customWidth="1"/>
    <col min="5124" max="5124" width="21.796875" style="3" customWidth="1"/>
    <col min="5125" max="5367" width="9.19921875" style="3"/>
    <col min="5368" max="5368" width="6.796875" style="3" customWidth="1"/>
    <col min="5369" max="5369" width="23" style="3" customWidth="1"/>
    <col min="5370" max="5372" width="8.19921875" style="3" bestFit="1" customWidth="1"/>
    <col min="5373" max="5373" width="8.19921875" style="3" customWidth="1"/>
    <col min="5374" max="5374" width="6.46484375" style="3" bestFit="1" customWidth="1"/>
    <col min="5375" max="5378" width="8.19921875" style="3" bestFit="1" customWidth="1"/>
    <col min="5379" max="5379" width="6.46484375" style="3" bestFit="1" customWidth="1"/>
    <col min="5380" max="5380" width="21.796875" style="3" customWidth="1"/>
    <col min="5381" max="5623" width="9.19921875" style="3"/>
    <col min="5624" max="5624" width="6.796875" style="3" customWidth="1"/>
    <col min="5625" max="5625" width="23" style="3" customWidth="1"/>
    <col min="5626" max="5628" width="8.19921875" style="3" bestFit="1" customWidth="1"/>
    <col min="5629" max="5629" width="8.19921875" style="3" customWidth="1"/>
    <col min="5630" max="5630" width="6.46484375" style="3" bestFit="1" customWidth="1"/>
    <col min="5631" max="5634" width="8.19921875" style="3" bestFit="1" customWidth="1"/>
    <col min="5635" max="5635" width="6.46484375" style="3" bestFit="1" customWidth="1"/>
    <col min="5636" max="5636" width="21.796875" style="3" customWidth="1"/>
    <col min="5637" max="5879" width="9.19921875" style="3"/>
    <col min="5880" max="5880" width="6.796875" style="3" customWidth="1"/>
    <col min="5881" max="5881" width="23" style="3" customWidth="1"/>
    <col min="5882" max="5884" width="8.19921875" style="3" bestFit="1" customWidth="1"/>
    <col min="5885" max="5885" width="8.19921875" style="3" customWidth="1"/>
    <col min="5886" max="5886" width="6.46484375" style="3" bestFit="1" customWidth="1"/>
    <col min="5887" max="5890" width="8.19921875" style="3" bestFit="1" customWidth="1"/>
    <col min="5891" max="5891" width="6.46484375" style="3" bestFit="1" customWidth="1"/>
    <col min="5892" max="5892" width="21.796875" style="3" customWidth="1"/>
    <col min="5893" max="6135" width="9.19921875" style="3"/>
    <col min="6136" max="6136" width="6.796875" style="3" customWidth="1"/>
    <col min="6137" max="6137" width="23" style="3" customWidth="1"/>
    <col min="6138" max="6140" width="8.19921875" style="3" bestFit="1" customWidth="1"/>
    <col min="6141" max="6141" width="8.19921875" style="3" customWidth="1"/>
    <col min="6142" max="6142" width="6.46484375" style="3" bestFit="1" customWidth="1"/>
    <col min="6143" max="6146" width="8.19921875" style="3" bestFit="1" customWidth="1"/>
    <col min="6147" max="6147" width="6.46484375" style="3" bestFit="1" customWidth="1"/>
    <col min="6148" max="6148" width="21.796875" style="3" customWidth="1"/>
    <col min="6149" max="6391" width="9.19921875" style="3"/>
    <col min="6392" max="6392" width="6.796875" style="3" customWidth="1"/>
    <col min="6393" max="6393" width="23" style="3" customWidth="1"/>
    <col min="6394" max="6396" width="8.19921875" style="3" bestFit="1" customWidth="1"/>
    <col min="6397" max="6397" width="8.19921875" style="3" customWidth="1"/>
    <col min="6398" max="6398" width="6.46484375" style="3" bestFit="1" customWidth="1"/>
    <col min="6399" max="6402" width="8.19921875" style="3" bestFit="1" customWidth="1"/>
    <col min="6403" max="6403" width="6.46484375" style="3" bestFit="1" customWidth="1"/>
    <col min="6404" max="6404" width="21.796875" style="3" customWidth="1"/>
    <col min="6405" max="6647" width="9.19921875" style="3"/>
    <col min="6648" max="6648" width="6.796875" style="3" customWidth="1"/>
    <col min="6649" max="6649" width="23" style="3" customWidth="1"/>
    <col min="6650" max="6652" width="8.19921875" style="3" bestFit="1" customWidth="1"/>
    <col min="6653" max="6653" width="8.19921875" style="3" customWidth="1"/>
    <col min="6654" max="6654" width="6.46484375" style="3" bestFit="1" customWidth="1"/>
    <col min="6655" max="6658" width="8.19921875" style="3" bestFit="1" customWidth="1"/>
    <col min="6659" max="6659" width="6.46484375" style="3" bestFit="1" customWidth="1"/>
    <col min="6660" max="6660" width="21.796875" style="3" customWidth="1"/>
    <col min="6661" max="6903" width="9.19921875" style="3"/>
    <col min="6904" max="6904" width="6.796875" style="3" customWidth="1"/>
    <col min="6905" max="6905" width="23" style="3" customWidth="1"/>
    <col min="6906" max="6908" width="8.19921875" style="3" bestFit="1" customWidth="1"/>
    <col min="6909" max="6909" width="8.19921875" style="3" customWidth="1"/>
    <col min="6910" max="6910" width="6.46484375" style="3" bestFit="1" customWidth="1"/>
    <col min="6911" max="6914" width="8.19921875" style="3" bestFit="1" customWidth="1"/>
    <col min="6915" max="6915" width="6.46484375" style="3" bestFit="1" customWidth="1"/>
    <col min="6916" max="6916" width="21.796875" style="3" customWidth="1"/>
    <col min="6917" max="7159" width="9.19921875" style="3"/>
    <col min="7160" max="7160" width="6.796875" style="3" customWidth="1"/>
    <col min="7161" max="7161" width="23" style="3" customWidth="1"/>
    <col min="7162" max="7164" width="8.19921875" style="3" bestFit="1" customWidth="1"/>
    <col min="7165" max="7165" width="8.19921875" style="3" customWidth="1"/>
    <col min="7166" max="7166" width="6.46484375" style="3" bestFit="1" customWidth="1"/>
    <col min="7167" max="7170" width="8.19921875" style="3" bestFit="1" customWidth="1"/>
    <col min="7171" max="7171" width="6.46484375" style="3" bestFit="1" customWidth="1"/>
    <col min="7172" max="7172" width="21.796875" style="3" customWidth="1"/>
    <col min="7173" max="7415" width="9.19921875" style="3"/>
    <col min="7416" max="7416" width="6.796875" style="3" customWidth="1"/>
    <col min="7417" max="7417" width="23" style="3" customWidth="1"/>
    <col min="7418" max="7420" width="8.19921875" style="3" bestFit="1" customWidth="1"/>
    <col min="7421" max="7421" width="8.19921875" style="3" customWidth="1"/>
    <col min="7422" max="7422" width="6.46484375" style="3" bestFit="1" customWidth="1"/>
    <col min="7423" max="7426" width="8.19921875" style="3" bestFit="1" customWidth="1"/>
    <col min="7427" max="7427" width="6.46484375" style="3" bestFit="1" customWidth="1"/>
    <col min="7428" max="7428" width="21.796875" style="3" customWidth="1"/>
    <col min="7429" max="7671" width="9.19921875" style="3"/>
    <col min="7672" max="7672" width="6.796875" style="3" customWidth="1"/>
    <col min="7673" max="7673" width="23" style="3" customWidth="1"/>
    <col min="7674" max="7676" width="8.19921875" style="3" bestFit="1" customWidth="1"/>
    <col min="7677" max="7677" width="8.19921875" style="3" customWidth="1"/>
    <col min="7678" max="7678" width="6.46484375" style="3" bestFit="1" customWidth="1"/>
    <col min="7679" max="7682" width="8.19921875" style="3" bestFit="1" customWidth="1"/>
    <col min="7683" max="7683" width="6.46484375" style="3" bestFit="1" customWidth="1"/>
    <col min="7684" max="7684" width="21.796875" style="3" customWidth="1"/>
    <col min="7685" max="7927" width="9.19921875" style="3"/>
    <col min="7928" max="7928" width="6.796875" style="3" customWidth="1"/>
    <col min="7929" max="7929" width="23" style="3" customWidth="1"/>
    <col min="7930" max="7932" width="8.19921875" style="3" bestFit="1" customWidth="1"/>
    <col min="7933" max="7933" width="8.19921875" style="3" customWidth="1"/>
    <col min="7934" max="7934" width="6.46484375" style="3" bestFit="1" customWidth="1"/>
    <col min="7935" max="7938" width="8.19921875" style="3" bestFit="1" customWidth="1"/>
    <col min="7939" max="7939" width="6.46484375" style="3" bestFit="1" customWidth="1"/>
    <col min="7940" max="7940" width="21.796875" style="3" customWidth="1"/>
    <col min="7941" max="8183" width="9.19921875" style="3"/>
    <col min="8184" max="8184" width="6.796875" style="3" customWidth="1"/>
    <col min="8185" max="8185" width="23" style="3" customWidth="1"/>
    <col min="8186" max="8188" width="8.19921875" style="3" bestFit="1" customWidth="1"/>
    <col min="8189" max="8189" width="8.19921875" style="3" customWidth="1"/>
    <col min="8190" max="8190" width="6.46484375" style="3" bestFit="1" customWidth="1"/>
    <col min="8191" max="8194" width="8.19921875" style="3" bestFit="1" customWidth="1"/>
    <col min="8195" max="8195" width="6.46484375" style="3" bestFit="1" customWidth="1"/>
    <col min="8196" max="8196" width="21.796875" style="3" customWidth="1"/>
    <col min="8197" max="8439" width="9.19921875" style="3"/>
    <col min="8440" max="8440" width="6.796875" style="3" customWidth="1"/>
    <col min="8441" max="8441" width="23" style="3" customWidth="1"/>
    <col min="8442" max="8444" width="8.19921875" style="3" bestFit="1" customWidth="1"/>
    <col min="8445" max="8445" width="8.19921875" style="3" customWidth="1"/>
    <col min="8446" max="8446" width="6.46484375" style="3" bestFit="1" customWidth="1"/>
    <col min="8447" max="8450" width="8.19921875" style="3" bestFit="1" customWidth="1"/>
    <col min="8451" max="8451" width="6.46484375" style="3" bestFit="1" customWidth="1"/>
    <col min="8452" max="8452" width="21.796875" style="3" customWidth="1"/>
    <col min="8453" max="8695" width="9.19921875" style="3"/>
    <col min="8696" max="8696" width="6.796875" style="3" customWidth="1"/>
    <col min="8697" max="8697" width="23" style="3" customWidth="1"/>
    <col min="8698" max="8700" width="8.19921875" style="3" bestFit="1" customWidth="1"/>
    <col min="8701" max="8701" width="8.19921875" style="3" customWidth="1"/>
    <col min="8702" max="8702" width="6.46484375" style="3" bestFit="1" customWidth="1"/>
    <col min="8703" max="8706" width="8.19921875" style="3" bestFit="1" customWidth="1"/>
    <col min="8707" max="8707" width="6.46484375" style="3" bestFit="1" customWidth="1"/>
    <col min="8708" max="8708" width="21.796875" style="3" customWidth="1"/>
    <col min="8709" max="8951" width="9.19921875" style="3"/>
    <col min="8952" max="8952" width="6.796875" style="3" customWidth="1"/>
    <col min="8953" max="8953" width="23" style="3" customWidth="1"/>
    <col min="8954" max="8956" width="8.19921875" style="3" bestFit="1" customWidth="1"/>
    <col min="8957" max="8957" width="8.19921875" style="3" customWidth="1"/>
    <col min="8958" max="8958" width="6.46484375" style="3" bestFit="1" customWidth="1"/>
    <col min="8959" max="8962" width="8.19921875" style="3" bestFit="1" customWidth="1"/>
    <col min="8963" max="8963" width="6.46484375" style="3" bestFit="1" customWidth="1"/>
    <col min="8964" max="8964" width="21.796875" style="3" customWidth="1"/>
    <col min="8965" max="9207" width="9.19921875" style="3"/>
    <col min="9208" max="9208" width="6.796875" style="3" customWidth="1"/>
    <col min="9209" max="9209" width="23" style="3" customWidth="1"/>
    <col min="9210" max="9212" width="8.19921875" style="3" bestFit="1" customWidth="1"/>
    <col min="9213" max="9213" width="8.19921875" style="3" customWidth="1"/>
    <col min="9214" max="9214" width="6.46484375" style="3" bestFit="1" customWidth="1"/>
    <col min="9215" max="9218" width="8.19921875" style="3" bestFit="1" customWidth="1"/>
    <col min="9219" max="9219" width="6.46484375" style="3" bestFit="1" customWidth="1"/>
    <col min="9220" max="9220" width="21.796875" style="3" customWidth="1"/>
    <col min="9221" max="9463" width="9.19921875" style="3"/>
    <col min="9464" max="9464" width="6.796875" style="3" customWidth="1"/>
    <col min="9465" max="9465" width="23" style="3" customWidth="1"/>
    <col min="9466" max="9468" width="8.19921875" style="3" bestFit="1" customWidth="1"/>
    <col min="9469" max="9469" width="8.19921875" style="3" customWidth="1"/>
    <col min="9470" max="9470" width="6.46484375" style="3" bestFit="1" customWidth="1"/>
    <col min="9471" max="9474" width="8.19921875" style="3" bestFit="1" customWidth="1"/>
    <col min="9475" max="9475" width="6.46484375" style="3" bestFit="1" customWidth="1"/>
    <col min="9476" max="9476" width="21.796875" style="3" customWidth="1"/>
    <col min="9477" max="9719" width="9.19921875" style="3"/>
    <col min="9720" max="9720" width="6.796875" style="3" customWidth="1"/>
    <col min="9721" max="9721" width="23" style="3" customWidth="1"/>
    <col min="9722" max="9724" width="8.19921875" style="3" bestFit="1" customWidth="1"/>
    <col min="9725" max="9725" width="8.19921875" style="3" customWidth="1"/>
    <col min="9726" max="9726" width="6.46484375" style="3" bestFit="1" customWidth="1"/>
    <col min="9727" max="9730" width="8.19921875" style="3" bestFit="1" customWidth="1"/>
    <col min="9731" max="9731" width="6.46484375" style="3" bestFit="1" customWidth="1"/>
    <col min="9732" max="9732" width="21.796875" style="3" customWidth="1"/>
    <col min="9733" max="9975" width="9.19921875" style="3"/>
    <col min="9976" max="9976" width="6.796875" style="3" customWidth="1"/>
    <col min="9977" max="9977" width="23" style="3" customWidth="1"/>
    <col min="9978" max="9980" width="8.19921875" style="3" bestFit="1" customWidth="1"/>
    <col min="9981" max="9981" width="8.19921875" style="3" customWidth="1"/>
    <col min="9982" max="9982" width="6.46484375" style="3" bestFit="1" customWidth="1"/>
    <col min="9983" max="9986" width="8.19921875" style="3" bestFit="1" customWidth="1"/>
    <col min="9987" max="9987" width="6.46484375" style="3" bestFit="1" customWidth="1"/>
    <col min="9988" max="9988" width="21.796875" style="3" customWidth="1"/>
    <col min="9989" max="10231" width="9.19921875" style="3"/>
    <col min="10232" max="10232" width="6.796875" style="3" customWidth="1"/>
    <col min="10233" max="10233" width="23" style="3" customWidth="1"/>
    <col min="10234" max="10236" width="8.19921875" style="3" bestFit="1" customWidth="1"/>
    <col min="10237" max="10237" width="8.19921875" style="3" customWidth="1"/>
    <col min="10238" max="10238" width="6.46484375" style="3" bestFit="1" customWidth="1"/>
    <col min="10239" max="10242" width="8.19921875" style="3" bestFit="1" customWidth="1"/>
    <col min="10243" max="10243" width="6.46484375" style="3" bestFit="1" customWidth="1"/>
    <col min="10244" max="10244" width="21.796875" style="3" customWidth="1"/>
    <col min="10245" max="10487" width="9.19921875" style="3"/>
    <col min="10488" max="10488" width="6.796875" style="3" customWidth="1"/>
    <col min="10489" max="10489" width="23" style="3" customWidth="1"/>
    <col min="10490" max="10492" width="8.19921875" style="3" bestFit="1" customWidth="1"/>
    <col min="10493" max="10493" width="8.19921875" style="3" customWidth="1"/>
    <col min="10494" max="10494" width="6.46484375" style="3" bestFit="1" customWidth="1"/>
    <col min="10495" max="10498" width="8.19921875" style="3" bestFit="1" customWidth="1"/>
    <col min="10499" max="10499" width="6.46484375" style="3" bestFit="1" customWidth="1"/>
    <col min="10500" max="10500" width="21.796875" style="3" customWidth="1"/>
    <col min="10501" max="10743" width="9.19921875" style="3"/>
    <col min="10744" max="10744" width="6.796875" style="3" customWidth="1"/>
    <col min="10745" max="10745" width="23" style="3" customWidth="1"/>
    <col min="10746" max="10748" width="8.19921875" style="3" bestFit="1" customWidth="1"/>
    <col min="10749" max="10749" width="8.19921875" style="3" customWidth="1"/>
    <col min="10750" max="10750" width="6.46484375" style="3" bestFit="1" customWidth="1"/>
    <col min="10751" max="10754" width="8.19921875" style="3" bestFit="1" customWidth="1"/>
    <col min="10755" max="10755" width="6.46484375" style="3" bestFit="1" customWidth="1"/>
    <col min="10756" max="10756" width="21.796875" style="3" customWidth="1"/>
    <col min="10757" max="10999" width="9.19921875" style="3"/>
    <col min="11000" max="11000" width="6.796875" style="3" customWidth="1"/>
    <col min="11001" max="11001" width="23" style="3" customWidth="1"/>
    <col min="11002" max="11004" width="8.19921875" style="3" bestFit="1" customWidth="1"/>
    <col min="11005" max="11005" width="8.19921875" style="3" customWidth="1"/>
    <col min="11006" max="11006" width="6.46484375" style="3" bestFit="1" customWidth="1"/>
    <col min="11007" max="11010" width="8.19921875" style="3" bestFit="1" customWidth="1"/>
    <col min="11011" max="11011" width="6.46484375" style="3" bestFit="1" customWidth="1"/>
    <col min="11012" max="11012" width="21.796875" style="3" customWidth="1"/>
    <col min="11013" max="11255" width="9.19921875" style="3"/>
    <col min="11256" max="11256" width="6.796875" style="3" customWidth="1"/>
    <col min="11257" max="11257" width="23" style="3" customWidth="1"/>
    <col min="11258" max="11260" width="8.19921875" style="3" bestFit="1" customWidth="1"/>
    <col min="11261" max="11261" width="8.19921875" style="3" customWidth="1"/>
    <col min="11262" max="11262" width="6.46484375" style="3" bestFit="1" customWidth="1"/>
    <col min="11263" max="11266" width="8.19921875" style="3" bestFit="1" customWidth="1"/>
    <col min="11267" max="11267" width="6.46484375" style="3" bestFit="1" customWidth="1"/>
    <col min="11268" max="11268" width="21.796875" style="3" customWidth="1"/>
    <col min="11269" max="11511" width="9.19921875" style="3"/>
    <col min="11512" max="11512" width="6.796875" style="3" customWidth="1"/>
    <col min="11513" max="11513" width="23" style="3" customWidth="1"/>
    <col min="11514" max="11516" width="8.19921875" style="3" bestFit="1" customWidth="1"/>
    <col min="11517" max="11517" width="8.19921875" style="3" customWidth="1"/>
    <col min="11518" max="11518" width="6.46484375" style="3" bestFit="1" customWidth="1"/>
    <col min="11519" max="11522" width="8.19921875" style="3" bestFit="1" customWidth="1"/>
    <col min="11523" max="11523" width="6.46484375" style="3" bestFit="1" customWidth="1"/>
    <col min="11524" max="11524" width="21.796875" style="3" customWidth="1"/>
    <col min="11525" max="11767" width="9.19921875" style="3"/>
    <col min="11768" max="11768" width="6.796875" style="3" customWidth="1"/>
    <col min="11769" max="11769" width="23" style="3" customWidth="1"/>
    <col min="11770" max="11772" width="8.19921875" style="3" bestFit="1" customWidth="1"/>
    <col min="11773" max="11773" width="8.19921875" style="3" customWidth="1"/>
    <col min="11774" max="11774" width="6.46484375" style="3" bestFit="1" customWidth="1"/>
    <col min="11775" max="11778" width="8.19921875" style="3" bestFit="1" customWidth="1"/>
    <col min="11779" max="11779" width="6.46484375" style="3" bestFit="1" customWidth="1"/>
    <col min="11780" max="11780" width="21.796875" style="3" customWidth="1"/>
    <col min="11781" max="12023" width="9.19921875" style="3"/>
    <col min="12024" max="12024" width="6.796875" style="3" customWidth="1"/>
    <col min="12025" max="12025" width="23" style="3" customWidth="1"/>
    <col min="12026" max="12028" width="8.19921875" style="3" bestFit="1" customWidth="1"/>
    <col min="12029" max="12029" width="8.19921875" style="3" customWidth="1"/>
    <col min="12030" max="12030" width="6.46484375" style="3" bestFit="1" customWidth="1"/>
    <col min="12031" max="12034" width="8.19921875" style="3" bestFit="1" customWidth="1"/>
    <col min="12035" max="12035" width="6.46484375" style="3" bestFit="1" customWidth="1"/>
    <col min="12036" max="12036" width="21.796875" style="3" customWidth="1"/>
    <col min="12037" max="12279" width="9.19921875" style="3"/>
    <col min="12280" max="12280" width="6.796875" style="3" customWidth="1"/>
    <col min="12281" max="12281" width="23" style="3" customWidth="1"/>
    <col min="12282" max="12284" width="8.19921875" style="3" bestFit="1" customWidth="1"/>
    <col min="12285" max="12285" width="8.19921875" style="3" customWidth="1"/>
    <col min="12286" max="12286" width="6.46484375" style="3" bestFit="1" customWidth="1"/>
    <col min="12287" max="12290" width="8.19921875" style="3" bestFit="1" customWidth="1"/>
    <col min="12291" max="12291" width="6.46484375" style="3" bestFit="1" customWidth="1"/>
    <col min="12292" max="12292" width="21.796875" style="3" customWidth="1"/>
    <col min="12293" max="12535" width="9.19921875" style="3"/>
    <col min="12536" max="12536" width="6.796875" style="3" customWidth="1"/>
    <col min="12537" max="12537" width="23" style="3" customWidth="1"/>
    <col min="12538" max="12540" width="8.19921875" style="3" bestFit="1" customWidth="1"/>
    <col min="12541" max="12541" width="8.19921875" style="3" customWidth="1"/>
    <col min="12542" max="12542" width="6.46484375" style="3" bestFit="1" customWidth="1"/>
    <col min="12543" max="12546" width="8.19921875" style="3" bestFit="1" customWidth="1"/>
    <col min="12547" max="12547" width="6.46484375" style="3" bestFit="1" customWidth="1"/>
    <col min="12548" max="12548" width="21.796875" style="3" customWidth="1"/>
    <col min="12549" max="12791" width="9.19921875" style="3"/>
    <col min="12792" max="12792" width="6.796875" style="3" customWidth="1"/>
    <col min="12793" max="12793" width="23" style="3" customWidth="1"/>
    <col min="12794" max="12796" width="8.19921875" style="3" bestFit="1" customWidth="1"/>
    <col min="12797" max="12797" width="8.19921875" style="3" customWidth="1"/>
    <col min="12798" max="12798" width="6.46484375" style="3" bestFit="1" customWidth="1"/>
    <col min="12799" max="12802" width="8.19921875" style="3" bestFit="1" customWidth="1"/>
    <col min="12803" max="12803" width="6.46484375" style="3" bestFit="1" customWidth="1"/>
    <col min="12804" max="12804" width="21.796875" style="3" customWidth="1"/>
    <col min="12805" max="13047" width="9.19921875" style="3"/>
    <col min="13048" max="13048" width="6.796875" style="3" customWidth="1"/>
    <col min="13049" max="13049" width="23" style="3" customWidth="1"/>
    <col min="13050" max="13052" width="8.19921875" style="3" bestFit="1" customWidth="1"/>
    <col min="13053" max="13053" width="8.19921875" style="3" customWidth="1"/>
    <col min="13054" max="13054" width="6.46484375" style="3" bestFit="1" customWidth="1"/>
    <col min="13055" max="13058" width="8.19921875" style="3" bestFit="1" customWidth="1"/>
    <col min="13059" max="13059" width="6.46484375" style="3" bestFit="1" customWidth="1"/>
    <col min="13060" max="13060" width="21.796875" style="3" customWidth="1"/>
    <col min="13061" max="13303" width="9.19921875" style="3"/>
    <col min="13304" max="13304" width="6.796875" style="3" customWidth="1"/>
    <col min="13305" max="13305" width="23" style="3" customWidth="1"/>
    <col min="13306" max="13308" width="8.19921875" style="3" bestFit="1" customWidth="1"/>
    <col min="13309" max="13309" width="8.19921875" style="3" customWidth="1"/>
    <col min="13310" max="13310" width="6.46484375" style="3" bestFit="1" customWidth="1"/>
    <col min="13311" max="13314" width="8.19921875" style="3" bestFit="1" customWidth="1"/>
    <col min="13315" max="13315" width="6.46484375" style="3" bestFit="1" customWidth="1"/>
    <col min="13316" max="13316" width="21.796875" style="3" customWidth="1"/>
    <col min="13317" max="13559" width="9.19921875" style="3"/>
    <col min="13560" max="13560" width="6.796875" style="3" customWidth="1"/>
    <col min="13561" max="13561" width="23" style="3" customWidth="1"/>
    <col min="13562" max="13564" width="8.19921875" style="3" bestFit="1" customWidth="1"/>
    <col min="13565" max="13565" width="8.19921875" style="3" customWidth="1"/>
    <col min="13566" max="13566" width="6.46484375" style="3" bestFit="1" customWidth="1"/>
    <col min="13567" max="13570" width="8.19921875" style="3" bestFit="1" customWidth="1"/>
    <col min="13571" max="13571" width="6.46484375" style="3" bestFit="1" customWidth="1"/>
    <col min="13572" max="13572" width="21.796875" style="3" customWidth="1"/>
    <col min="13573" max="13815" width="9.19921875" style="3"/>
    <col min="13816" max="13816" width="6.796875" style="3" customWidth="1"/>
    <col min="13817" max="13817" width="23" style="3" customWidth="1"/>
    <col min="13818" max="13820" width="8.19921875" style="3" bestFit="1" customWidth="1"/>
    <col min="13821" max="13821" width="8.19921875" style="3" customWidth="1"/>
    <col min="13822" max="13822" width="6.46484375" style="3" bestFit="1" customWidth="1"/>
    <col min="13823" max="13826" width="8.19921875" style="3" bestFit="1" customWidth="1"/>
    <col min="13827" max="13827" width="6.46484375" style="3" bestFit="1" customWidth="1"/>
    <col min="13828" max="13828" width="21.796875" style="3" customWidth="1"/>
    <col min="13829" max="14071" width="9.19921875" style="3"/>
    <col min="14072" max="14072" width="6.796875" style="3" customWidth="1"/>
    <col min="14073" max="14073" width="23" style="3" customWidth="1"/>
    <col min="14074" max="14076" width="8.19921875" style="3" bestFit="1" customWidth="1"/>
    <col min="14077" max="14077" width="8.19921875" style="3" customWidth="1"/>
    <col min="14078" max="14078" width="6.46484375" style="3" bestFit="1" customWidth="1"/>
    <col min="14079" max="14082" width="8.19921875" style="3" bestFit="1" customWidth="1"/>
    <col min="14083" max="14083" width="6.46484375" style="3" bestFit="1" customWidth="1"/>
    <col min="14084" max="14084" width="21.796875" style="3" customWidth="1"/>
    <col min="14085" max="14327" width="9.19921875" style="3"/>
    <col min="14328" max="14328" width="6.796875" style="3" customWidth="1"/>
    <col min="14329" max="14329" width="23" style="3" customWidth="1"/>
    <col min="14330" max="14332" width="8.19921875" style="3" bestFit="1" customWidth="1"/>
    <col min="14333" max="14333" width="8.19921875" style="3" customWidth="1"/>
    <col min="14334" max="14334" width="6.46484375" style="3" bestFit="1" customWidth="1"/>
    <col min="14335" max="14338" width="8.19921875" style="3" bestFit="1" customWidth="1"/>
    <col min="14339" max="14339" width="6.46484375" style="3" bestFit="1" customWidth="1"/>
    <col min="14340" max="14340" width="21.796875" style="3" customWidth="1"/>
    <col min="14341" max="14583" width="9.19921875" style="3"/>
    <col min="14584" max="14584" width="6.796875" style="3" customWidth="1"/>
    <col min="14585" max="14585" width="23" style="3" customWidth="1"/>
    <col min="14586" max="14588" width="8.19921875" style="3" bestFit="1" customWidth="1"/>
    <col min="14589" max="14589" width="8.19921875" style="3" customWidth="1"/>
    <col min="14590" max="14590" width="6.46484375" style="3" bestFit="1" customWidth="1"/>
    <col min="14591" max="14594" width="8.19921875" style="3" bestFit="1" customWidth="1"/>
    <col min="14595" max="14595" width="6.46484375" style="3" bestFit="1" customWidth="1"/>
    <col min="14596" max="14596" width="21.796875" style="3" customWidth="1"/>
    <col min="14597" max="14839" width="9.19921875" style="3"/>
    <col min="14840" max="14840" width="6.796875" style="3" customWidth="1"/>
    <col min="14841" max="14841" width="23" style="3" customWidth="1"/>
    <col min="14842" max="14844" width="8.19921875" style="3" bestFit="1" customWidth="1"/>
    <col min="14845" max="14845" width="8.19921875" style="3" customWidth="1"/>
    <col min="14846" max="14846" width="6.46484375" style="3" bestFit="1" customWidth="1"/>
    <col min="14847" max="14850" width="8.19921875" style="3" bestFit="1" customWidth="1"/>
    <col min="14851" max="14851" width="6.46484375" style="3" bestFit="1" customWidth="1"/>
    <col min="14852" max="14852" width="21.796875" style="3" customWidth="1"/>
    <col min="14853" max="15095" width="9.19921875" style="3"/>
    <col min="15096" max="15096" width="6.796875" style="3" customWidth="1"/>
    <col min="15097" max="15097" width="23" style="3" customWidth="1"/>
    <col min="15098" max="15100" width="8.19921875" style="3" bestFit="1" customWidth="1"/>
    <col min="15101" max="15101" width="8.19921875" style="3" customWidth="1"/>
    <col min="15102" max="15102" width="6.46484375" style="3" bestFit="1" customWidth="1"/>
    <col min="15103" max="15106" width="8.19921875" style="3" bestFit="1" customWidth="1"/>
    <col min="15107" max="15107" width="6.46484375" style="3" bestFit="1" customWidth="1"/>
    <col min="15108" max="15108" width="21.796875" style="3" customWidth="1"/>
    <col min="15109" max="15351" width="9.19921875" style="3"/>
    <col min="15352" max="15352" width="6.796875" style="3" customWidth="1"/>
    <col min="15353" max="15353" width="23" style="3" customWidth="1"/>
    <col min="15354" max="15356" width="8.19921875" style="3" bestFit="1" customWidth="1"/>
    <col min="15357" max="15357" width="8.19921875" style="3" customWidth="1"/>
    <col min="15358" max="15358" width="6.46484375" style="3" bestFit="1" customWidth="1"/>
    <col min="15359" max="15362" width="8.19921875" style="3" bestFit="1" customWidth="1"/>
    <col min="15363" max="15363" width="6.46484375" style="3" bestFit="1" customWidth="1"/>
    <col min="15364" max="15364" width="21.796875" style="3" customWidth="1"/>
    <col min="15365" max="15607" width="9.19921875" style="3"/>
    <col min="15608" max="15608" width="6.796875" style="3" customWidth="1"/>
    <col min="15609" max="15609" width="23" style="3" customWidth="1"/>
    <col min="15610" max="15612" width="8.19921875" style="3" bestFit="1" customWidth="1"/>
    <col min="15613" max="15613" width="8.19921875" style="3" customWidth="1"/>
    <col min="15614" max="15614" width="6.46484375" style="3" bestFit="1" customWidth="1"/>
    <col min="15615" max="15618" width="8.19921875" style="3" bestFit="1" customWidth="1"/>
    <col min="15619" max="15619" width="6.46484375" style="3" bestFit="1" customWidth="1"/>
    <col min="15620" max="15620" width="21.796875" style="3" customWidth="1"/>
    <col min="15621" max="15863" width="9.19921875" style="3"/>
    <col min="15864" max="15864" width="6.796875" style="3" customWidth="1"/>
    <col min="15865" max="15865" width="23" style="3" customWidth="1"/>
    <col min="15866" max="15868" width="8.19921875" style="3" bestFit="1" customWidth="1"/>
    <col min="15869" max="15869" width="8.19921875" style="3" customWidth="1"/>
    <col min="15870" max="15870" width="6.46484375" style="3" bestFit="1" customWidth="1"/>
    <col min="15871" max="15874" width="8.19921875" style="3" bestFit="1" customWidth="1"/>
    <col min="15875" max="15875" width="6.46484375" style="3" bestFit="1" customWidth="1"/>
    <col min="15876" max="15876" width="21.796875" style="3" customWidth="1"/>
    <col min="15877" max="16119" width="9.19921875" style="3"/>
    <col min="16120" max="16120" width="6.796875" style="3" customWidth="1"/>
    <col min="16121" max="16121" width="23" style="3" customWidth="1"/>
    <col min="16122" max="16124" width="8.19921875" style="3" bestFit="1" customWidth="1"/>
    <col min="16125" max="16125" width="8.19921875" style="3" customWidth="1"/>
    <col min="16126" max="16126" width="6.46484375" style="3" bestFit="1" customWidth="1"/>
    <col min="16127" max="16130" width="8.19921875" style="3" bestFit="1" customWidth="1"/>
    <col min="16131" max="16131" width="6.46484375" style="3" bestFit="1" customWidth="1"/>
    <col min="16132" max="16132" width="21.796875" style="3" customWidth="1"/>
    <col min="16133" max="16373" width="9.19921875" style="3"/>
    <col min="16374" max="16384" width="9.19921875" style="3" customWidth="1"/>
  </cols>
  <sheetData>
    <row r="1" spans="1:6">
      <c r="A1" s="1507" t="s">
        <v>1845</v>
      </c>
      <c r="B1" s="1507"/>
    </row>
    <row r="2" spans="1:6">
      <c r="A2" s="20" t="str">
        <f>+'BS1'!A2</f>
        <v>NIDP DEVELOPERS PRIVATE LIMITED</v>
      </c>
      <c r="B2" s="170"/>
      <c r="C2" s="170"/>
      <c r="D2" s="170"/>
      <c r="E2" s="170"/>
      <c r="F2" s="170"/>
    </row>
    <row r="3" spans="1:6">
      <c r="A3" s="173" t="s">
        <v>157</v>
      </c>
      <c r="B3" s="173"/>
      <c r="C3" s="173"/>
      <c r="D3" s="173"/>
      <c r="E3" s="173"/>
      <c r="F3" s="173"/>
    </row>
    <row r="5" spans="1:6" s="20" customFormat="1" ht="12.75" customHeight="1">
      <c r="A5" s="1677" t="s">
        <v>81</v>
      </c>
      <c r="B5" s="1677" t="s">
        <v>10</v>
      </c>
      <c r="C5" s="2191" t="s">
        <v>703</v>
      </c>
      <c r="D5" s="2192"/>
      <c r="E5" s="2191" t="s">
        <v>1749</v>
      </c>
      <c r="F5" s="2192"/>
    </row>
    <row r="6" spans="1:6" s="20" customFormat="1" ht="12.75" customHeight="1">
      <c r="A6" s="1678"/>
      <c r="B6" s="1679"/>
      <c r="C6" s="2193"/>
      <c r="D6" s="2194"/>
      <c r="E6" s="2193"/>
      <c r="F6" s="2194"/>
    </row>
    <row r="7" spans="1:6" s="20" customFormat="1">
      <c r="A7" s="1678"/>
      <c r="B7" s="208" t="s">
        <v>292</v>
      </c>
      <c r="C7" s="1681" t="s">
        <v>342</v>
      </c>
      <c r="D7" s="2172"/>
      <c r="E7" s="1681" t="s">
        <v>2220</v>
      </c>
      <c r="F7" s="2172"/>
    </row>
    <row r="8" spans="1:6" s="20" customFormat="1" ht="30" customHeight="1">
      <c r="A8" s="1679"/>
      <c r="B8" s="208"/>
      <c r="C8" s="678" t="s">
        <v>1747</v>
      </c>
      <c r="D8" s="678" t="s">
        <v>1748</v>
      </c>
      <c r="E8" s="678" t="s">
        <v>1747</v>
      </c>
      <c r="F8" s="678" t="s">
        <v>1748</v>
      </c>
    </row>
    <row r="9" spans="1:6">
      <c r="A9" s="535" t="s">
        <v>32</v>
      </c>
      <c r="B9" s="536" t="s">
        <v>1421</v>
      </c>
      <c r="C9" s="2185" t="s">
        <v>2062</v>
      </c>
      <c r="D9" s="2186"/>
      <c r="E9" s="667" t="s">
        <v>2154</v>
      </c>
      <c r="F9" s="667" t="s">
        <v>2154</v>
      </c>
    </row>
    <row r="10" spans="1:6">
      <c r="A10" s="535"/>
      <c r="B10" s="520" t="s">
        <v>82</v>
      </c>
      <c r="C10" s="2187"/>
      <c r="D10" s="2188"/>
      <c r="E10" s="667" t="s">
        <v>2154</v>
      </c>
      <c r="F10" s="667" t="s">
        <v>2154</v>
      </c>
    </row>
    <row r="11" spans="1:6">
      <c r="A11" s="535"/>
      <c r="B11" s="520" t="s">
        <v>83</v>
      </c>
      <c r="C11" s="2187"/>
      <c r="D11" s="2188"/>
      <c r="E11" s="667" t="s">
        <v>2154</v>
      </c>
      <c r="F11" s="667" t="s">
        <v>2154</v>
      </c>
    </row>
    <row r="12" spans="1:6">
      <c r="A12" s="535"/>
      <c r="B12" s="520" t="s">
        <v>86</v>
      </c>
      <c r="C12" s="2187"/>
      <c r="D12" s="2188"/>
      <c r="E12" s="667" t="s">
        <v>2154</v>
      </c>
      <c r="F12" s="667" t="s">
        <v>2154</v>
      </c>
    </row>
    <row r="13" spans="1:6" ht="12.75" customHeight="1">
      <c r="A13" s="535"/>
      <c r="B13" s="536"/>
      <c r="C13" s="2187"/>
      <c r="D13" s="2188"/>
      <c r="E13" s="667" t="s">
        <v>2154</v>
      </c>
      <c r="F13" s="667" t="s">
        <v>2154</v>
      </c>
    </row>
    <row r="14" spans="1:6" ht="12.75" customHeight="1">
      <c r="A14" s="535" t="s">
        <v>33</v>
      </c>
      <c r="B14" s="536"/>
      <c r="C14" s="2187"/>
      <c r="D14" s="2188"/>
      <c r="E14" s="667" t="s">
        <v>2154</v>
      </c>
      <c r="F14" s="667" t="s">
        <v>2154</v>
      </c>
    </row>
    <row r="15" spans="1:6" ht="12.75" customHeight="1">
      <c r="A15" s="520"/>
      <c r="B15" s="520" t="s">
        <v>18</v>
      </c>
      <c r="C15" s="2187"/>
      <c r="D15" s="2188"/>
      <c r="E15" s="667" t="s">
        <v>2154</v>
      </c>
      <c r="F15" s="667" t="s">
        <v>2154</v>
      </c>
    </row>
    <row r="16" spans="1:6" ht="12.75" customHeight="1">
      <c r="A16" s="535" t="s">
        <v>33</v>
      </c>
      <c r="B16" s="520" t="s">
        <v>299</v>
      </c>
      <c r="C16" s="2187"/>
      <c r="D16" s="2188"/>
      <c r="E16" s="667" t="s">
        <v>2154</v>
      </c>
      <c r="F16" s="667" t="s">
        <v>2154</v>
      </c>
    </row>
    <row r="17" spans="1:6">
      <c r="A17" s="535"/>
      <c r="B17" s="520" t="s">
        <v>82</v>
      </c>
      <c r="C17" s="2187"/>
      <c r="D17" s="2188"/>
      <c r="E17" s="667" t="s">
        <v>2154</v>
      </c>
      <c r="F17" s="667" t="s">
        <v>2154</v>
      </c>
    </row>
    <row r="18" spans="1:6">
      <c r="A18" s="535"/>
      <c r="B18" s="520" t="s">
        <v>83</v>
      </c>
      <c r="C18" s="2187"/>
      <c r="D18" s="2188"/>
      <c r="E18" s="667" t="s">
        <v>2154</v>
      </c>
      <c r="F18" s="667" t="s">
        <v>2154</v>
      </c>
    </row>
    <row r="19" spans="1:6">
      <c r="A19" s="520"/>
      <c r="B19" s="520" t="s">
        <v>86</v>
      </c>
      <c r="C19" s="2187"/>
      <c r="D19" s="2188"/>
      <c r="E19" s="667" t="s">
        <v>2154</v>
      </c>
      <c r="F19" s="667" t="s">
        <v>2154</v>
      </c>
    </row>
    <row r="20" spans="1:6">
      <c r="A20" s="520"/>
      <c r="B20" s="518" t="s">
        <v>18</v>
      </c>
      <c r="C20" s="2189"/>
      <c r="D20" s="2190"/>
      <c r="E20" s="667" t="s">
        <v>2154</v>
      </c>
      <c r="F20" s="667" t="s">
        <v>2154</v>
      </c>
    </row>
  </sheetData>
  <mergeCells count="8">
    <mergeCell ref="C9:D20"/>
    <mergeCell ref="E7:F7"/>
    <mergeCell ref="A1:B1"/>
    <mergeCell ref="A5:A8"/>
    <mergeCell ref="B5:B6"/>
    <mergeCell ref="C7:D7"/>
    <mergeCell ref="C5:D6"/>
    <mergeCell ref="E5:F6"/>
  </mergeCells>
  <printOptions horizontalCentered="1"/>
  <pageMargins left="0.70866141732283472" right="0.70866141732283472" top="0.74803149606299213" bottom="0.74803149606299213" header="0.31496062992125984" footer="0.31496062992125984"/>
  <pageSetup paperSize="5" scale="9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tabColor rgb="FF00FFFF"/>
    <pageSetUpPr fitToPage="1"/>
  </sheetPr>
  <dimension ref="A1:E26"/>
  <sheetViews>
    <sheetView showGridLines="0" view="pageBreakPreview" zoomScale="112" zoomScaleNormal="82" zoomScaleSheetLayoutView="112" workbookViewId="0">
      <selection activeCell="H13" sqref="H13"/>
    </sheetView>
  </sheetViews>
  <sheetFormatPr defaultRowHeight="14.25"/>
  <cols>
    <col min="1" max="1" width="5" style="3" customWidth="1"/>
    <col min="2" max="2" width="34.53125" style="3" customWidth="1"/>
    <col min="3" max="5" width="13.19921875" style="3" customWidth="1"/>
    <col min="6" max="246" width="9.19921875" style="3"/>
    <col min="247" max="247" width="3" style="3" customWidth="1"/>
    <col min="248" max="248" width="33.19921875" style="3" customWidth="1"/>
    <col min="249" max="252" width="8.796875" style="3" bestFit="1" customWidth="1"/>
    <col min="253" max="253" width="13.46484375" style="3" customWidth="1"/>
    <col min="254" max="255" width="13.796875" style="3" bestFit="1" customWidth="1"/>
    <col min="256" max="502" width="9.19921875" style="3"/>
    <col min="503" max="503" width="3" style="3" customWidth="1"/>
    <col min="504" max="504" width="33.19921875" style="3" customWidth="1"/>
    <col min="505" max="508" width="8.796875" style="3" bestFit="1" customWidth="1"/>
    <col min="509" max="509" width="13.46484375" style="3" customWidth="1"/>
    <col min="510" max="511" width="13.796875" style="3" bestFit="1" customWidth="1"/>
    <col min="512" max="758" width="9.19921875" style="3"/>
    <col min="759" max="759" width="3" style="3" customWidth="1"/>
    <col min="760" max="760" width="33.19921875" style="3" customWidth="1"/>
    <col min="761" max="764" width="8.796875" style="3" bestFit="1" customWidth="1"/>
    <col min="765" max="765" width="13.46484375" style="3" customWidth="1"/>
    <col min="766" max="767" width="13.796875" style="3" bestFit="1" customWidth="1"/>
    <col min="768" max="1014" width="9.19921875" style="3"/>
    <col min="1015" max="1015" width="3" style="3" customWidth="1"/>
    <col min="1016" max="1016" width="33.19921875" style="3" customWidth="1"/>
    <col min="1017" max="1020" width="8.796875" style="3" bestFit="1" customWidth="1"/>
    <col min="1021" max="1021" width="13.46484375" style="3" customWidth="1"/>
    <col min="1022" max="1023" width="13.796875" style="3" bestFit="1" customWidth="1"/>
    <col min="1024" max="1270" width="9.19921875" style="3"/>
    <col min="1271" max="1271" width="3" style="3" customWidth="1"/>
    <col min="1272" max="1272" width="33.19921875" style="3" customWidth="1"/>
    <col min="1273" max="1276" width="8.796875" style="3" bestFit="1" customWidth="1"/>
    <col min="1277" max="1277" width="13.46484375" style="3" customWidth="1"/>
    <col min="1278" max="1279" width="13.796875" style="3" bestFit="1" customWidth="1"/>
    <col min="1280" max="1526" width="9.19921875" style="3"/>
    <col min="1527" max="1527" width="3" style="3" customWidth="1"/>
    <col min="1528" max="1528" width="33.19921875" style="3" customWidth="1"/>
    <col min="1529" max="1532" width="8.796875" style="3" bestFit="1" customWidth="1"/>
    <col min="1533" max="1533" width="13.46484375" style="3" customWidth="1"/>
    <col min="1534" max="1535" width="13.796875" style="3" bestFit="1" customWidth="1"/>
    <col min="1536" max="1782" width="9.19921875" style="3"/>
    <col min="1783" max="1783" width="3" style="3" customWidth="1"/>
    <col min="1784" max="1784" width="33.19921875" style="3" customWidth="1"/>
    <col min="1785" max="1788" width="8.796875" style="3" bestFit="1" customWidth="1"/>
    <col min="1789" max="1789" width="13.46484375" style="3" customWidth="1"/>
    <col min="1790" max="1791" width="13.796875" style="3" bestFit="1" customWidth="1"/>
    <col min="1792" max="2038" width="9.19921875" style="3"/>
    <col min="2039" max="2039" width="3" style="3" customWidth="1"/>
    <col min="2040" max="2040" width="33.19921875" style="3" customWidth="1"/>
    <col min="2041" max="2044" width="8.796875" style="3" bestFit="1" customWidth="1"/>
    <col min="2045" max="2045" width="13.46484375" style="3" customWidth="1"/>
    <col min="2046" max="2047" width="13.796875" style="3" bestFit="1" customWidth="1"/>
    <col min="2048" max="2294" width="9.19921875" style="3"/>
    <col min="2295" max="2295" width="3" style="3" customWidth="1"/>
    <col min="2296" max="2296" width="33.19921875" style="3" customWidth="1"/>
    <col min="2297" max="2300" width="8.796875" style="3" bestFit="1" customWidth="1"/>
    <col min="2301" max="2301" width="13.46484375" style="3" customWidth="1"/>
    <col min="2302" max="2303" width="13.796875" style="3" bestFit="1" customWidth="1"/>
    <col min="2304" max="2550" width="9.19921875" style="3"/>
    <col min="2551" max="2551" width="3" style="3" customWidth="1"/>
    <col min="2552" max="2552" width="33.19921875" style="3" customWidth="1"/>
    <col min="2553" max="2556" width="8.796875" style="3" bestFit="1" customWidth="1"/>
    <col min="2557" max="2557" width="13.46484375" style="3" customWidth="1"/>
    <col min="2558" max="2559" width="13.796875" style="3" bestFit="1" customWidth="1"/>
    <col min="2560" max="2806" width="9.19921875" style="3"/>
    <col min="2807" max="2807" width="3" style="3" customWidth="1"/>
    <col min="2808" max="2808" width="33.19921875" style="3" customWidth="1"/>
    <col min="2809" max="2812" width="8.796875" style="3" bestFit="1" customWidth="1"/>
    <col min="2813" max="2813" width="13.46484375" style="3" customWidth="1"/>
    <col min="2814" max="2815" width="13.796875" style="3" bestFit="1" customWidth="1"/>
    <col min="2816" max="3062" width="9.19921875" style="3"/>
    <col min="3063" max="3063" width="3" style="3" customWidth="1"/>
    <col min="3064" max="3064" width="33.19921875" style="3" customWidth="1"/>
    <col min="3065" max="3068" width="8.796875" style="3" bestFit="1" customWidth="1"/>
    <col min="3069" max="3069" width="13.46484375" style="3" customWidth="1"/>
    <col min="3070" max="3071" width="13.796875" style="3" bestFit="1" customWidth="1"/>
    <col min="3072" max="3318" width="9.19921875" style="3"/>
    <col min="3319" max="3319" width="3" style="3" customWidth="1"/>
    <col min="3320" max="3320" width="33.19921875" style="3" customWidth="1"/>
    <col min="3321" max="3324" width="8.796875" style="3" bestFit="1" customWidth="1"/>
    <col min="3325" max="3325" width="13.46484375" style="3" customWidth="1"/>
    <col min="3326" max="3327" width="13.796875" style="3" bestFit="1" customWidth="1"/>
    <col min="3328" max="3574" width="9.19921875" style="3"/>
    <col min="3575" max="3575" width="3" style="3" customWidth="1"/>
    <col min="3576" max="3576" width="33.19921875" style="3" customWidth="1"/>
    <col min="3577" max="3580" width="8.796875" style="3" bestFit="1" customWidth="1"/>
    <col min="3581" max="3581" width="13.46484375" style="3" customWidth="1"/>
    <col min="3582" max="3583" width="13.796875" style="3" bestFit="1" customWidth="1"/>
    <col min="3584" max="3830" width="9.19921875" style="3"/>
    <col min="3831" max="3831" width="3" style="3" customWidth="1"/>
    <col min="3832" max="3832" width="33.19921875" style="3" customWidth="1"/>
    <col min="3833" max="3836" width="8.796875" style="3" bestFit="1" customWidth="1"/>
    <col min="3837" max="3837" width="13.46484375" style="3" customWidth="1"/>
    <col min="3838" max="3839" width="13.796875" style="3" bestFit="1" customWidth="1"/>
    <col min="3840" max="4086" width="9.19921875" style="3"/>
    <col min="4087" max="4087" width="3" style="3" customWidth="1"/>
    <col min="4088" max="4088" width="33.19921875" style="3" customWidth="1"/>
    <col min="4089" max="4092" width="8.796875" style="3" bestFit="1" customWidth="1"/>
    <col min="4093" max="4093" width="13.46484375" style="3" customWidth="1"/>
    <col min="4094" max="4095" width="13.796875" style="3" bestFit="1" customWidth="1"/>
    <col min="4096" max="4342" width="9.19921875" style="3"/>
    <col min="4343" max="4343" width="3" style="3" customWidth="1"/>
    <col min="4344" max="4344" width="33.19921875" style="3" customWidth="1"/>
    <col min="4345" max="4348" width="8.796875" style="3" bestFit="1" customWidth="1"/>
    <col min="4349" max="4349" width="13.46484375" style="3" customWidth="1"/>
    <col min="4350" max="4351" width="13.796875" style="3" bestFit="1" customWidth="1"/>
    <col min="4352" max="4598" width="9.19921875" style="3"/>
    <col min="4599" max="4599" width="3" style="3" customWidth="1"/>
    <col min="4600" max="4600" width="33.19921875" style="3" customWidth="1"/>
    <col min="4601" max="4604" width="8.796875" style="3" bestFit="1" customWidth="1"/>
    <col min="4605" max="4605" width="13.46484375" style="3" customWidth="1"/>
    <col min="4606" max="4607" width="13.796875" style="3" bestFit="1" customWidth="1"/>
    <col min="4608" max="4854" width="9.19921875" style="3"/>
    <col min="4855" max="4855" width="3" style="3" customWidth="1"/>
    <col min="4856" max="4856" width="33.19921875" style="3" customWidth="1"/>
    <col min="4857" max="4860" width="8.796875" style="3" bestFit="1" customWidth="1"/>
    <col min="4861" max="4861" width="13.46484375" style="3" customWidth="1"/>
    <col min="4862" max="4863" width="13.796875" style="3" bestFit="1" customWidth="1"/>
    <col min="4864" max="5110" width="9.19921875" style="3"/>
    <col min="5111" max="5111" width="3" style="3" customWidth="1"/>
    <col min="5112" max="5112" width="33.19921875" style="3" customWidth="1"/>
    <col min="5113" max="5116" width="8.796875" style="3" bestFit="1" customWidth="1"/>
    <col min="5117" max="5117" width="13.46484375" style="3" customWidth="1"/>
    <col min="5118" max="5119" width="13.796875" style="3" bestFit="1" customWidth="1"/>
    <col min="5120" max="5366" width="9.19921875" style="3"/>
    <col min="5367" max="5367" width="3" style="3" customWidth="1"/>
    <col min="5368" max="5368" width="33.19921875" style="3" customWidth="1"/>
    <col min="5369" max="5372" width="8.796875" style="3" bestFit="1" customWidth="1"/>
    <col min="5373" max="5373" width="13.46484375" style="3" customWidth="1"/>
    <col min="5374" max="5375" width="13.796875" style="3" bestFit="1" customWidth="1"/>
    <col min="5376" max="5622" width="9.19921875" style="3"/>
    <col min="5623" max="5623" width="3" style="3" customWidth="1"/>
    <col min="5624" max="5624" width="33.19921875" style="3" customWidth="1"/>
    <col min="5625" max="5628" width="8.796875" style="3" bestFit="1" customWidth="1"/>
    <col min="5629" max="5629" width="13.46484375" style="3" customWidth="1"/>
    <col min="5630" max="5631" width="13.796875" style="3" bestFit="1" customWidth="1"/>
    <col min="5632" max="5878" width="9.19921875" style="3"/>
    <col min="5879" max="5879" width="3" style="3" customWidth="1"/>
    <col min="5880" max="5880" width="33.19921875" style="3" customWidth="1"/>
    <col min="5881" max="5884" width="8.796875" style="3" bestFit="1" customWidth="1"/>
    <col min="5885" max="5885" width="13.46484375" style="3" customWidth="1"/>
    <col min="5886" max="5887" width="13.796875" style="3" bestFit="1" customWidth="1"/>
    <col min="5888" max="6134" width="9.19921875" style="3"/>
    <col min="6135" max="6135" width="3" style="3" customWidth="1"/>
    <col min="6136" max="6136" width="33.19921875" style="3" customWidth="1"/>
    <col min="6137" max="6140" width="8.796875" style="3" bestFit="1" customWidth="1"/>
    <col min="6141" max="6141" width="13.46484375" style="3" customWidth="1"/>
    <col min="6142" max="6143" width="13.796875" style="3" bestFit="1" customWidth="1"/>
    <col min="6144" max="6390" width="9.19921875" style="3"/>
    <col min="6391" max="6391" width="3" style="3" customWidth="1"/>
    <col min="6392" max="6392" width="33.19921875" style="3" customWidth="1"/>
    <col min="6393" max="6396" width="8.796875" style="3" bestFit="1" customWidth="1"/>
    <col min="6397" max="6397" width="13.46484375" style="3" customWidth="1"/>
    <col min="6398" max="6399" width="13.796875" style="3" bestFit="1" customWidth="1"/>
    <col min="6400" max="6646" width="9.19921875" style="3"/>
    <col min="6647" max="6647" width="3" style="3" customWidth="1"/>
    <col min="6648" max="6648" width="33.19921875" style="3" customWidth="1"/>
    <col min="6649" max="6652" width="8.796875" style="3" bestFit="1" customWidth="1"/>
    <col min="6653" max="6653" width="13.46484375" style="3" customWidth="1"/>
    <col min="6654" max="6655" width="13.796875" style="3" bestFit="1" customWidth="1"/>
    <col min="6656" max="6902" width="9.19921875" style="3"/>
    <col min="6903" max="6903" width="3" style="3" customWidth="1"/>
    <col min="6904" max="6904" width="33.19921875" style="3" customWidth="1"/>
    <col min="6905" max="6908" width="8.796875" style="3" bestFit="1" customWidth="1"/>
    <col min="6909" max="6909" width="13.46484375" style="3" customWidth="1"/>
    <col min="6910" max="6911" width="13.796875" style="3" bestFit="1" customWidth="1"/>
    <col min="6912" max="7158" width="9.19921875" style="3"/>
    <col min="7159" max="7159" width="3" style="3" customWidth="1"/>
    <col min="7160" max="7160" width="33.19921875" style="3" customWidth="1"/>
    <col min="7161" max="7164" width="8.796875" style="3" bestFit="1" customWidth="1"/>
    <col min="7165" max="7165" width="13.46484375" style="3" customWidth="1"/>
    <col min="7166" max="7167" width="13.796875" style="3" bestFit="1" customWidth="1"/>
    <col min="7168" max="7414" width="9.19921875" style="3"/>
    <col min="7415" max="7415" width="3" style="3" customWidth="1"/>
    <col min="7416" max="7416" width="33.19921875" style="3" customWidth="1"/>
    <col min="7417" max="7420" width="8.796875" style="3" bestFit="1" customWidth="1"/>
    <col min="7421" max="7421" width="13.46484375" style="3" customWidth="1"/>
    <col min="7422" max="7423" width="13.796875" style="3" bestFit="1" customWidth="1"/>
    <col min="7424" max="7670" width="9.19921875" style="3"/>
    <col min="7671" max="7671" width="3" style="3" customWidth="1"/>
    <col min="7672" max="7672" width="33.19921875" style="3" customWidth="1"/>
    <col min="7673" max="7676" width="8.796875" style="3" bestFit="1" customWidth="1"/>
    <col min="7677" max="7677" width="13.46484375" style="3" customWidth="1"/>
    <col min="7678" max="7679" width="13.796875" style="3" bestFit="1" customWidth="1"/>
    <col min="7680" max="7926" width="9.19921875" style="3"/>
    <col min="7927" max="7927" width="3" style="3" customWidth="1"/>
    <col min="7928" max="7928" width="33.19921875" style="3" customWidth="1"/>
    <col min="7929" max="7932" width="8.796875" style="3" bestFit="1" customWidth="1"/>
    <col min="7933" max="7933" width="13.46484375" style="3" customWidth="1"/>
    <col min="7934" max="7935" width="13.796875" style="3" bestFit="1" customWidth="1"/>
    <col min="7936" max="8182" width="9.19921875" style="3"/>
    <col min="8183" max="8183" width="3" style="3" customWidth="1"/>
    <col min="8184" max="8184" width="33.19921875" style="3" customWidth="1"/>
    <col min="8185" max="8188" width="8.796875" style="3" bestFit="1" customWidth="1"/>
    <col min="8189" max="8189" width="13.46484375" style="3" customWidth="1"/>
    <col min="8190" max="8191" width="13.796875" style="3" bestFit="1" customWidth="1"/>
    <col min="8192" max="8438" width="9.19921875" style="3"/>
    <col min="8439" max="8439" width="3" style="3" customWidth="1"/>
    <col min="8440" max="8440" width="33.19921875" style="3" customWidth="1"/>
    <col min="8441" max="8444" width="8.796875" style="3" bestFit="1" customWidth="1"/>
    <col min="8445" max="8445" width="13.46484375" style="3" customWidth="1"/>
    <col min="8446" max="8447" width="13.796875" style="3" bestFit="1" customWidth="1"/>
    <col min="8448" max="8694" width="9.19921875" style="3"/>
    <col min="8695" max="8695" width="3" style="3" customWidth="1"/>
    <col min="8696" max="8696" width="33.19921875" style="3" customWidth="1"/>
    <col min="8697" max="8700" width="8.796875" style="3" bestFit="1" customWidth="1"/>
    <col min="8701" max="8701" width="13.46484375" style="3" customWidth="1"/>
    <col min="8702" max="8703" width="13.796875" style="3" bestFit="1" customWidth="1"/>
    <col min="8704" max="8950" width="9.19921875" style="3"/>
    <col min="8951" max="8951" width="3" style="3" customWidth="1"/>
    <col min="8952" max="8952" width="33.19921875" style="3" customWidth="1"/>
    <col min="8953" max="8956" width="8.796875" style="3" bestFit="1" customWidth="1"/>
    <col min="8957" max="8957" width="13.46484375" style="3" customWidth="1"/>
    <col min="8958" max="8959" width="13.796875" style="3" bestFit="1" customWidth="1"/>
    <col min="8960" max="9206" width="9.19921875" style="3"/>
    <col min="9207" max="9207" width="3" style="3" customWidth="1"/>
    <col min="9208" max="9208" width="33.19921875" style="3" customWidth="1"/>
    <col min="9209" max="9212" width="8.796875" style="3" bestFit="1" customWidth="1"/>
    <col min="9213" max="9213" width="13.46484375" style="3" customWidth="1"/>
    <col min="9214" max="9215" width="13.796875" style="3" bestFit="1" customWidth="1"/>
    <col min="9216" max="9462" width="9.19921875" style="3"/>
    <col min="9463" max="9463" width="3" style="3" customWidth="1"/>
    <col min="9464" max="9464" width="33.19921875" style="3" customWidth="1"/>
    <col min="9465" max="9468" width="8.796875" style="3" bestFit="1" customWidth="1"/>
    <col min="9469" max="9469" width="13.46484375" style="3" customWidth="1"/>
    <col min="9470" max="9471" width="13.796875" style="3" bestFit="1" customWidth="1"/>
    <col min="9472" max="9718" width="9.19921875" style="3"/>
    <col min="9719" max="9719" width="3" style="3" customWidth="1"/>
    <col min="9720" max="9720" width="33.19921875" style="3" customWidth="1"/>
    <col min="9721" max="9724" width="8.796875" style="3" bestFit="1" customWidth="1"/>
    <col min="9725" max="9725" width="13.46484375" style="3" customWidth="1"/>
    <col min="9726" max="9727" width="13.796875" style="3" bestFit="1" customWidth="1"/>
    <col min="9728" max="9974" width="9.19921875" style="3"/>
    <col min="9975" max="9975" width="3" style="3" customWidth="1"/>
    <col min="9976" max="9976" width="33.19921875" style="3" customWidth="1"/>
    <col min="9977" max="9980" width="8.796875" style="3" bestFit="1" customWidth="1"/>
    <col min="9981" max="9981" width="13.46484375" style="3" customWidth="1"/>
    <col min="9982" max="9983" width="13.796875" style="3" bestFit="1" customWidth="1"/>
    <col min="9984" max="10230" width="9.19921875" style="3"/>
    <col min="10231" max="10231" width="3" style="3" customWidth="1"/>
    <col min="10232" max="10232" width="33.19921875" style="3" customWidth="1"/>
    <col min="10233" max="10236" width="8.796875" style="3" bestFit="1" customWidth="1"/>
    <col min="10237" max="10237" width="13.46484375" style="3" customWidth="1"/>
    <col min="10238" max="10239" width="13.796875" style="3" bestFit="1" customWidth="1"/>
    <col min="10240" max="10486" width="9.19921875" style="3"/>
    <col min="10487" max="10487" width="3" style="3" customWidth="1"/>
    <col min="10488" max="10488" width="33.19921875" style="3" customWidth="1"/>
    <col min="10489" max="10492" width="8.796875" style="3" bestFit="1" customWidth="1"/>
    <col min="10493" max="10493" width="13.46484375" style="3" customWidth="1"/>
    <col min="10494" max="10495" width="13.796875" style="3" bestFit="1" customWidth="1"/>
    <col min="10496" max="10742" width="9.19921875" style="3"/>
    <col min="10743" max="10743" width="3" style="3" customWidth="1"/>
    <col min="10744" max="10744" width="33.19921875" style="3" customWidth="1"/>
    <col min="10745" max="10748" width="8.796875" style="3" bestFit="1" customWidth="1"/>
    <col min="10749" max="10749" width="13.46484375" style="3" customWidth="1"/>
    <col min="10750" max="10751" width="13.796875" style="3" bestFit="1" customWidth="1"/>
    <col min="10752" max="10998" width="9.19921875" style="3"/>
    <col min="10999" max="10999" width="3" style="3" customWidth="1"/>
    <col min="11000" max="11000" width="33.19921875" style="3" customWidth="1"/>
    <col min="11001" max="11004" width="8.796875" style="3" bestFit="1" customWidth="1"/>
    <col min="11005" max="11005" width="13.46484375" style="3" customWidth="1"/>
    <col min="11006" max="11007" width="13.796875" style="3" bestFit="1" customWidth="1"/>
    <col min="11008" max="11254" width="9.19921875" style="3"/>
    <col min="11255" max="11255" width="3" style="3" customWidth="1"/>
    <col min="11256" max="11256" width="33.19921875" style="3" customWidth="1"/>
    <col min="11257" max="11260" width="8.796875" style="3" bestFit="1" customWidth="1"/>
    <col min="11261" max="11261" width="13.46484375" style="3" customWidth="1"/>
    <col min="11262" max="11263" width="13.796875" style="3" bestFit="1" customWidth="1"/>
    <col min="11264" max="11510" width="9.19921875" style="3"/>
    <col min="11511" max="11511" width="3" style="3" customWidth="1"/>
    <col min="11512" max="11512" width="33.19921875" style="3" customWidth="1"/>
    <col min="11513" max="11516" width="8.796875" style="3" bestFit="1" customWidth="1"/>
    <col min="11517" max="11517" width="13.46484375" style="3" customWidth="1"/>
    <col min="11518" max="11519" width="13.796875" style="3" bestFit="1" customWidth="1"/>
    <col min="11520" max="11766" width="9.19921875" style="3"/>
    <col min="11767" max="11767" width="3" style="3" customWidth="1"/>
    <col min="11768" max="11768" width="33.19921875" style="3" customWidth="1"/>
    <col min="11769" max="11772" width="8.796875" style="3" bestFit="1" customWidth="1"/>
    <col min="11773" max="11773" width="13.46484375" style="3" customWidth="1"/>
    <col min="11774" max="11775" width="13.796875" style="3" bestFit="1" customWidth="1"/>
    <col min="11776" max="12022" width="9.19921875" style="3"/>
    <col min="12023" max="12023" width="3" style="3" customWidth="1"/>
    <col min="12024" max="12024" width="33.19921875" style="3" customWidth="1"/>
    <col min="12025" max="12028" width="8.796875" style="3" bestFit="1" customWidth="1"/>
    <col min="12029" max="12029" width="13.46484375" style="3" customWidth="1"/>
    <col min="12030" max="12031" width="13.796875" style="3" bestFit="1" customWidth="1"/>
    <col min="12032" max="12278" width="9.19921875" style="3"/>
    <col min="12279" max="12279" width="3" style="3" customWidth="1"/>
    <col min="12280" max="12280" width="33.19921875" style="3" customWidth="1"/>
    <col min="12281" max="12284" width="8.796875" style="3" bestFit="1" customWidth="1"/>
    <col min="12285" max="12285" width="13.46484375" style="3" customWidth="1"/>
    <col min="12286" max="12287" width="13.796875" style="3" bestFit="1" customWidth="1"/>
    <col min="12288" max="12534" width="9.19921875" style="3"/>
    <col min="12535" max="12535" width="3" style="3" customWidth="1"/>
    <col min="12536" max="12536" width="33.19921875" style="3" customWidth="1"/>
    <col min="12537" max="12540" width="8.796875" style="3" bestFit="1" customWidth="1"/>
    <col min="12541" max="12541" width="13.46484375" style="3" customWidth="1"/>
    <col min="12542" max="12543" width="13.796875" style="3" bestFit="1" customWidth="1"/>
    <col min="12544" max="12790" width="9.19921875" style="3"/>
    <col min="12791" max="12791" width="3" style="3" customWidth="1"/>
    <col min="12792" max="12792" width="33.19921875" style="3" customWidth="1"/>
    <col min="12793" max="12796" width="8.796875" style="3" bestFit="1" customWidth="1"/>
    <col min="12797" max="12797" width="13.46484375" style="3" customWidth="1"/>
    <col min="12798" max="12799" width="13.796875" style="3" bestFit="1" customWidth="1"/>
    <col min="12800" max="13046" width="9.19921875" style="3"/>
    <col min="13047" max="13047" width="3" style="3" customWidth="1"/>
    <col min="13048" max="13048" width="33.19921875" style="3" customWidth="1"/>
    <col min="13049" max="13052" width="8.796875" style="3" bestFit="1" customWidth="1"/>
    <col min="13053" max="13053" width="13.46484375" style="3" customWidth="1"/>
    <col min="13054" max="13055" width="13.796875" style="3" bestFit="1" customWidth="1"/>
    <col min="13056" max="13302" width="9.19921875" style="3"/>
    <col min="13303" max="13303" width="3" style="3" customWidth="1"/>
    <col min="13304" max="13304" width="33.19921875" style="3" customWidth="1"/>
    <col min="13305" max="13308" width="8.796875" style="3" bestFit="1" customWidth="1"/>
    <col min="13309" max="13309" width="13.46484375" style="3" customWidth="1"/>
    <col min="13310" max="13311" width="13.796875" style="3" bestFit="1" customWidth="1"/>
    <col min="13312" max="13558" width="9.19921875" style="3"/>
    <col min="13559" max="13559" width="3" style="3" customWidth="1"/>
    <col min="13560" max="13560" width="33.19921875" style="3" customWidth="1"/>
    <col min="13561" max="13564" width="8.796875" style="3" bestFit="1" customWidth="1"/>
    <col min="13565" max="13565" width="13.46484375" style="3" customWidth="1"/>
    <col min="13566" max="13567" width="13.796875" style="3" bestFit="1" customWidth="1"/>
    <col min="13568" max="13814" width="9.19921875" style="3"/>
    <col min="13815" max="13815" width="3" style="3" customWidth="1"/>
    <col min="13816" max="13816" width="33.19921875" style="3" customWidth="1"/>
    <col min="13817" max="13820" width="8.796875" style="3" bestFit="1" customWidth="1"/>
    <col min="13821" max="13821" width="13.46484375" style="3" customWidth="1"/>
    <col min="13822" max="13823" width="13.796875" style="3" bestFit="1" customWidth="1"/>
    <col min="13824" max="14070" width="9.19921875" style="3"/>
    <col min="14071" max="14071" width="3" style="3" customWidth="1"/>
    <col min="14072" max="14072" width="33.19921875" style="3" customWidth="1"/>
    <col min="14073" max="14076" width="8.796875" style="3" bestFit="1" customWidth="1"/>
    <col min="14077" max="14077" width="13.46484375" style="3" customWidth="1"/>
    <col min="14078" max="14079" width="13.796875" style="3" bestFit="1" customWidth="1"/>
    <col min="14080" max="14326" width="9.19921875" style="3"/>
    <col min="14327" max="14327" width="3" style="3" customWidth="1"/>
    <col min="14328" max="14328" width="33.19921875" style="3" customWidth="1"/>
    <col min="14329" max="14332" width="8.796875" style="3" bestFit="1" customWidth="1"/>
    <col min="14333" max="14333" width="13.46484375" style="3" customWidth="1"/>
    <col min="14334" max="14335" width="13.796875" style="3" bestFit="1" customWidth="1"/>
    <col min="14336" max="14582" width="9.19921875" style="3"/>
    <col min="14583" max="14583" width="3" style="3" customWidth="1"/>
    <col min="14584" max="14584" width="33.19921875" style="3" customWidth="1"/>
    <col min="14585" max="14588" width="8.796875" style="3" bestFit="1" customWidth="1"/>
    <col min="14589" max="14589" width="13.46484375" style="3" customWidth="1"/>
    <col min="14590" max="14591" width="13.796875" style="3" bestFit="1" customWidth="1"/>
    <col min="14592" max="14838" width="9.19921875" style="3"/>
    <col min="14839" max="14839" width="3" style="3" customWidth="1"/>
    <col min="14840" max="14840" width="33.19921875" style="3" customWidth="1"/>
    <col min="14841" max="14844" width="8.796875" style="3" bestFit="1" customWidth="1"/>
    <col min="14845" max="14845" width="13.46484375" style="3" customWidth="1"/>
    <col min="14846" max="14847" width="13.796875" style="3" bestFit="1" customWidth="1"/>
    <col min="14848" max="15094" width="9.19921875" style="3"/>
    <col min="15095" max="15095" width="3" style="3" customWidth="1"/>
    <col min="15096" max="15096" width="33.19921875" style="3" customWidth="1"/>
    <col min="15097" max="15100" width="8.796875" style="3" bestFit="1" customWidth="1"/>
    <col min="15101" max="15101" width="13.46484375" style="3" customWidth="1"/>
    <col min="15102" max="15103" width="13.796875" style="3" bestFit="1" customWidth="1"/>
    <col min="15104" max="15350" width="9.19921875" style="3"/>
    <col min="15351" max="15351" width="3" style="3" customWidth="1"/>
    <col min="15352" max="15352" width="33.19921875" style="3" customWidth="1"/>
    <col min="15353" max="15356" width="8.796875" style="3" bestFit="1" customWidth="1"/>
    <col min="15357" max="15357" width="13.46484375" style="3" customWidth="1"/>
    <col min="15358" max="15359" width="13.796875" style="3" bestFit="1" customWidth="1"/>
    <col min="15360" max="15606" width="9.19921875" style="3"/>
    <col min="15607" max="15607" width="3" style="3" customWidth="1"/>
    <col min="15608" max="15608" width="33.19921875" style="3" customWidth="1"/>
    <col min="15609" max="15612" width="8.796875" style="3" bestFit="1" customWidth="1"/>
    <col min="15613" max="15613" width="13.46484375" style="3" customWidth="1"/>
    <col min="15614" max="15615" width="13.796875" style="3" bestFit="1" customWidth="1"/>
    <col min="15616" max="15862" width="9.19921875" style="3"/>
    <col min="15863" max="15863" width="3" style="3" customWidth="1"/>
    <col min="15864" max="15864" width="33.19921875" style="3" customWidth="1"/>
    <col min="15865" max="15868" width="8.796875" style="3" bestFit="1" customWidth="1"/>
    <col min="15869" max="15869" width="13.46484375" style="3" customWidth="1"/>
    <col min="15870" max="15871" width="13.796875" style="3" bestFit="1" customWidth="1"/>
    <col min="15872" max="16118" width="9.19921875" style="3"/>
    <col min="16119" max="16119" width="3" style="3" customWidth="1"/>
    <col min="16120" max="16120" width="33.19921875" style="3" customWidth="1"/>
    <col min="16121" max="16124" width="8.796875" style="3" bestFit="1" customWidth="1"/>
    <col min="16125" max="16125" width="13.46484375" style="3" customWidth="1"/>
    <col min="16126" max="16127" width="13.796875" style="3" bestFit="1" customWidth="1"/>
    <col min="16128" max="16383" width="9.19921875" style="3"/>
    <col min="16384" max="16384" width="9.19921875" style="3" customWidth="1"/>
  </cols>
  <sheetData>
    <row r="1" spans="1:5">
      <c r="A1" s="1507" t="s">
        <v>1844</v>
      </c>
      <c r="B1" s="1507"/>
    </row>
    <row r="2" spans="1:5">
      <c r="A2" s="3" t="str">
        <f>+'BS1'!A2</f>
        <v>NIDP DEVELOPERS PRIVATE LIMITED</v>
      </c>
      <c r="B2" s="170"/>
      <c r="C2" s="170"/>
      <c r="D2" s="170"/>
      <c r="E2" s="170"/>
    </row>
    <row r="3" spans="1:5">
      <c r="A3" s="173" t="s">
        <v>302</v>
      </c>
      <c r="B3" s="173"/>
      <c r="C3" s="173"/>
      <c r="D3" s="173"/>
      <c r="E3" s="55"/>
    </row>
    <row r="4" spans="1:5">
      <c r="A4" s="20"/>
      <c r="B4" s="20"/>
      <c r="C4" s="20"/>
      <c r="D4" s="20"/>
      <c r="E4" s="20"/>
    </row>
    <row r="5" spans="1:5" s="20" customFormat="1">
      <c r="A5" s="1677" t="s">
        <v>8</v>
      </c>
      <c r="B5" s="1677" t="s">
        <v>10</v>
      </c>
      <c r="C5" s="1488" t="s">
        <v>701</v>
      </c>
      <c r="D5" s="1488"/>
      <c r="E5" s="147" t="s">
        <v>1443</v>
      </c>
    </row>
    <row r="6" spans="1:5" s="20" customFormat="1">
      <c r="A6" s="1678"/>
      <c r="B6" s="1678"/>
      <c r="C6" s="146" t="s">
        <v>341</v>
      </c>
      <c r="D6" s="146" t="s">
        <v>342</v>
      </c>
      <c r="E6" s="146" t="s">
        <v>343</v>
      </c>
    </row>
    <row r="7" spans="1:5" s="20" customFormat="1" ht="21" customHeight="1">
      <c r="A7" s="1679"/>
      <c r="B7" s="1679"/>
      <c r="C7" s="146"/>
      <c r="D7" s="146"/>
      <c r="E7" s="152"/>
    </row>
    <row r="8" spans="1:5">
      <c r="A8" s="6">
        <v>1</v>
      </c>
      <c r="B8" s="70" t="s">
        <v>303</v>
      </c>
      <c r="C8" s="2196" t="s">
        <v>2062</v>
      </c>
      <c r="D8" s="2197"/>
      <c r="E8" s="7"/>
    </row>
    <row r="9" spans="1:5">
      <c r="A9" s="6"/>
      <c r="B9" s="97" t="s">
        <v>304</v>
      </c>
      <c r="C9" s="2198"/>
      <c r="D9" s="2199"/>
      <c r="E9" s="1055">
        <v>6.2111999999999998</v>
      </c>
    </row>
    <row r="10" spans="1:5">
      <c r="A10" s="6"/>
      <c r="B10" s="97" t="s">
        <v>305</v>
      </c>
      <c r="C10" s="2198"/>
      <c r="D10" s="2199"/>
      <c r="E10" s="1055">
        <v>9.1601599999999994</v>
      </c>
    </row>
    <row r="11" spans="1:5">
      <c r="A11" s="6"/>
      <c r="B11" s="70"/>
      <c r="C11" s="2198"/>
      <c r="D11" s="2199"/>
      <c r="E11" s="7"/>
    </row>
    <row r="12" spans="1:5">
      <c r="A12" s="6">
        <v>2</v>
      </c>
      <c r="B12" s="71" t="s">
        <v>306</v>
      </c>
      <c r="C12" s="2198"/>
      <c r="D12" s="2199"/>
      <c r="E12" s="7"/>
    </row>
    <row r="13" spans="1:5">
      <c r="A13" s="6"/>
      <c r="B13" s="97" t="s">
        <v>307</v>
      </c>
      <c r="C13" s="2198"/>
      <c r="D13" s="2199"/>
      <c r="E13" s="96"/>
    </row>
    <row r="14" spans="1:5">
      <c r="A14" s="95"/>
      <c r="B14" s="97" t="s">
        <v>308</v>
      </c>
      <c r="C14" s="2198"/>
      <c r="D14" s="2199"/>
      <c r="E14" s="96"/>
    </row>
    <row r="15" spans="1:5">
      <c r="A15" s="95"/>
      <c r="B15" s="97"/>
      <c r="C15" s="2198"/>
      <c r="D15" s="2199"/>
      <c r="E15" s="7"/>
    </row>
    <row r="16" spans="1:5">
      <c r="A16" s="6">
        <v>3</v>
      </c>
      <c r="B16" s="71" t="s">
        <v>309</v>
      </c>
      <c r="C16" s="2198"/>
      <c r="D16" s="2199"/>
      <c r="E16" s="7"/>
    </row>
    <row r="17" spans="1:5">
      <c r="A17" s="6"/>
      <c r="B17" s="71"/>
      <c r="C17" s="2198"/>
      <c r="D17" s="2199"/>
      <c r="E17" s="7"/>
    </row>
    <row r="18" spans="1:5">
      <c r="A18" s="6">
        <v>4</v>
      </c>
      <c r="B18" s="71" t="s">
        <v>310</v>
      </c>
      <c r="C18" s="2198"/>
      <c r="D18" s="2199"/>
      <c r="E18" s="7"/>
    </row>
    <row r="19" spans="1:5">
      <c r="A19" s="6"/>
      <c r="B19" s="97" t="s">
        <v>307</v>
      </c>
      <c r="C19" s="2198"/>
      <c r="D19" s="2199"/>
      <c r="E19" s="96">
        <v>0</v>
      </c>
    </row>
    <row r="20" spans="1:5">
      <c r="A20" s="95"/>
      <c r="B20" s="97" t="s">
        <v>308</v>
      </c>
      <c r="C20" s="2198"/>
      <c r="D20" s="2199"/>
      <c r="E20" s="96">
        <v>0</v>
      </c>
    </row>
    <row r="21" spans="1:5">
      <c r="A21" s="7"/>
      <c r="B21" s="7"/>
      <c r="C21" s="2200"/>
      <c r="D21" s="2201"/>
      <c r="E21" s="7"/>
    </row>
    <row r="23" spans="1:5" ht="28.5" customHeight="1">
      <c r="A23" s="2195" t="s">
        <v>334</v>
      </c>
      <c r="B23" s="2195"/>
      <c r="C23" s="2195"/>
      <c r="D23" s="2195"/>
      <c r="E23" s="2195"/>
    </row>
    <row r="26" spans="1:5">
      <c r="E26" s="14"/>
    </row>
  </sheetData>
  <mergeCells count="6">
    <mergeCell ref="A1:B1"/>
    <mergeCell ref="B5:B7"/>
    <mergeCell ref="A5:A7"/>
    <mergeCell ref="C5:D5"/>
    <mergeCell ref="A23:E23"/>
    <mergeCell ref="C8:D21"/>
  </mergeCells>
  <printOptions horizontalCentered="1"/>
  <pageMargins left="0.70866141732283472" right="0.70866141732283472" top="0.74803149606299213" bottom="0.74803149606299213" header="0.31496062992125984" footer="0.31496062992125984"/>
  <pageSetup paperSize="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3476A-8267-4877-BFD8-B0AEEB01CD1C}">
  <sheetPr>
    <tabColor rgb="FF00FFFF"/>
  </sheetPr>
  <dimension ref="A1:H10"/>
  <sheetViews>
    <sheetView view="pageBreakPreview" zoomScaleNormal="100" zoomScaleSheetLayoutView="100" workbookViewId="0">
      <selection activeCell="I7" sqref="I7"/>
    </sheetView>
  </sheetViews>
  <sheetFormatPr defaultRowHeight="14.25"/>
  <cols>
    <col min="2" max="2" width="6.265625" customWidth="1"/>
    <col min="3" max="3" width="32" bestFit="1" customWidth="1"/>
    <col min="4" max="4" width="18.53125" customWidth="1"/>
    <col min="5" max="5" width="12.1328125" bestFit="1" customWidth="1"/>
    <col min="6" max="6" width="11.3984375" bestFit="1" customWidth="1"/>
    <col min="7" max="7" width="22.796875" customWidth="1"/>
    <col min="8" max="8" width="7.3984375" bestFit="1" customWidth="1"/>
    <col min="9" max="9" width="27.46484375" bestFit="1" customWidth="1"/>
    <col min="10" max="10" width="14" bestFit="1" customWidth="1"/>
    <col min="11" max="11" width="26.19921875" bestFit="1" customWidth="1"/>
  </cols>
  <sheetData>
    <row r="1" spans="1:8" s="3" customFormat="1">
      <c r="A1" s="1507" t="s">
        <v>1843</v>
      </c>
      <c r="B1" s="1507"/>
    </row>
    <row r="2" spans="1:8" s="3" customFormat="1">
      <c r="A2" s="3" t="str">
        <f>+'BS1'!A2</f>
        <v>NIDP DEVELOPERS PRIVATE LIMITED</v>
      </c>
      <c r="B2" s="170"/>
      <c r="C2" s="170"/>
      <c r="D2" s="170"/>
      <c r="E2" s="170"/>
    </row>
    <row r="3" spans="1:8" s="3" customFormat="1">
      <c r="A3" s="173" t="s">
        <v>1751</v>
      </c>
      <c r="B3" s="173"/>
      <c r="C3" s="173"/>
      <c r="D3" s="173"/>
      <c r="E3" s="55"/>
    </row>
    <row r="5" spans="1:8">
      <c r="B5" s="2" t="s">
        <v>1751</v>
      </c>
    </row>
    <row r="6" spans="1:8" s="213" customFormat="1" ht="28.5">
      <c r="B6" s="468" t="s">
        <v>1752</v>
      </c>
      <c r="C6" s="468" t="s">
        <v>1753</v>
      </c>
      <c r="D6" s="448" t="s">
        <v>1754</v>
      </c>
      <c r="E6" s="468" t="s">
        <v>1755</v>
      </c>
      <c r="F6" s="468" t="s">
        <v>1756</v>
      </c>
      <c r="G6" s="468" t="s">
        <v>1757</v>
      </c>
      <c r="H6" s="448" t="s">
        <v>1758</v>
      </c>
    </row>
    <row r="7" spans="1:8" s="213" customFormat="1" ht="114">
      <c r="B7" s="101">
        <v>1</v>
      </c>
      <c r="C7" s="217" t="s">
        <v>2239</v>
      </c>
      <c r="D7" s="217" t="s">
        <v>2240</v>
      </c>
      <c r="E7" s="290" t="s">
        <v>2241</v>
      </c>
      <c r="F7" s="1070">
        <v>45154</v>
      </c>
      <c r="G7" s="217" t="s">
        <v>2243</v>
      </c>
      <c r="H7" s="290" t="s">
        <v>2242</v>
      </c>
    </row>
    <row r="8" spans="1:8">
      <c r="B8" s="1"/>
      <c r="C8" s="581"/>
      <c r="D8" s="581"/>
      <c r="E8" s="581"/>
      <c r="F8" s="581"/>
      <c r="G8" s="581"/>
      <c r="H8" s="581"/>
    </row>
    <row r="9" spans="1:8">
      <c r="B9" s="1"/>
      <c r="C9" s="581"/>
      <c r="D9" s="581"/>
      <c r="E9" s="581"/>
      <c r="F9" s="581"/>
      <c r="G9" s="581"/>
      <c r="H9" s="581"/>
    </row>
    <row r="10" spans="1:8">
      <c r="B10" s="1"/>
      <c r="C10" s="581"/>
      <c r="D10" s="581"/>
      <c r="E10" s="581"/>
      <c r="F10" s="581"/>
      <c r="G10" s="581"/>
      <c r="H10" s="581"/>
    </row>
  </sheetData>
  <mergeCells count="1">
    <mergeCell ref="A1:B1"/>
  </mergeCells>
  <printOptions horizontalCentered="1"/>
  <pageMargins left="0.70866141732283472" right="0.70866141732283472" top="0.74803149606299213" bottom="0.74803149606299213" header="0.31496062992125984" footer="0.31496062992125984"/>
  <pageSetup paperSize="5" scale="120" fitToHeight="0"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0B658-5200-4321-AC7B-27F8609649FC}">
  <sheetPr>
    <tabColor rgb="FF00FFFF"/>
    <pageSetUpPr fitToPage="1"/>
  </sheetPr>
  <dimension ref="A1:Q10"/>
  <sheetViews>
    <sheetView view="pageBreakPreview" zoomScaleNormal="100" zoomScaleSheetLayoutView="100" workbookViewId="0">
      <selection activeCell="M12" sqref="M12"/>
    </sheetView>
  </sheetViews>
  <sheetFormatPr defaultRowHeight="14.25"/>
  <cols>
    <col min="3" max="3" width="11.19921875" bestFit="1" customWidth="1"/>
    <col min="4" max="4" width="8.796875" bestFit="1" customWidth="1"/>
    <col min="5" max="5" width="10.46484375" bestFit="1" customWidth="1"/>
    <col min="6" max="6" width="8.46484375" bestFit="1" customWidth="1"/>
    <col min="7" max="7" width="5.19921875" bestFit="1" customWidth="1"/>
    <col min="8" max="8" width="13.19921875" bestFit="1" customWidth="1"/>
    <col min="9" max="9" width="8.796875" bestFit="1" customWidth="1"/>
    <col min="10" max="10" width="11.796875" bestFit="1" customWidth="1"/>
    <col min="11" max="11" width="12.46484375" customWidth="1"/>
    <col min="12" max="12" width="11.53125" bestFit="1" customWidth="1"/>
    <col min="14" max="15" width="11.53125" bestFit="1" customWidth="1"/>
    <col min="16" max="16" width="11" bestFit="1" customWidth="1"/>
    <col min="17" max="17" width="10.19921875" bestFit="1" customWidth="1"/>
  </cols>
  <sheetData>
    <row r="1" spans="1:17" s="3" customFormat="1">
      <c r="A1" s="20" t="s">
        <v>1842</v>
      </c>
      <c r="B1" s="20"/>
    </row>
    <row r="2" spans="1:17" s="3" customFormat="1">
      <c r="A2" s="20" t="str">
        <f>+'BS1'!A2</f>
        <v>NIDP DEVELOPERS PRIVATE LIMITED</v>
      </c>
      <c r="B2" s="170"/>
      <c r="C2" s="170"/>
      <c r="D2" s="170"/>
      <c r="E2" s="170"/>
    </row>
    <row r="3" spans="1:17" s="3" customFormat="1">
      <c r="A3" s="173" t="s">
        <v>1768</v>
      </c>
      <c r="B3" s="173"/>
      <c r="C3" s="173"/>
      <c r="D3" s="173"/>
      <c r="E3" s="55"/>
    </row>
    <row r="4" spans="1:17">
      <c r="B4" s="2"/>
    </row>
    <row r="5" spans="1:17" ht="28.5">
      <c r="B5" s="680" t="s">
        <v>1752</v>
      </c>
      <c r="C5" s="680" t="s">
        <v>1769</v>
      </c>
      <c r="D5" s="680" t="s">
        <v>1770</v>
      </c>
      <c r="E5" s="680" t="s">
        <v>1771</v>
      </c>
      <c r="F5" s="680" t="s">
        <v>1772</v>
      </c>
      <c r="G5" s="680" t="s">
        <v>1773</v>
      </c>
      <c r="H5" s="680" t="s">
        <v>1774</v>
      </c>
      <c r="I5" s="680" t="s">
        <v>1775</v>
      </c>
      <c r="J5" s="680" t="s">
        <v>1776</v>
      </c>
      <c r="K5" s="680" t="s">
        <v>1777</v>
      </c>
      <c r="L5" s="680" t="s">
        <v>1778</v>
      </c>
      <c r="M5" s="680" t="s">
        <v>1779</v>
      </c>
      <c r="N5" s="680" t="s">
        <v>1780</v>
      </c>
      <c r="O5" s="680" t="s">
        <v>1781</v>
      </c>
      <c r="P5" s="680" t="s">
        <v>1782</v>
      </c>
      <c r="Q5" s="681" t="s">
        <v>1783</v>
      </c>
    </row>
    <row r="6" spans="1:17">
      <c r="B6" s="677">
        <v>1</v>
      </c>
      <c r="C6" s="2202" t="s">
        <v>2154</v>
      </c>
      <c r="D6" s="2203"/>
      <c r="E6" s="2203"/>
      <c r="F6" s="2203"/>
      <c r="G6" s="2203"/>
      <c r="H6" s="2203"/>
      <c r="I6" s="2203"/>
      <c r="J6" s="2203"/>
      <c r="K6" s="2203"/>
      <c r="L6" s="2203"/>
      <c r="M6" s="2203"/>
      <c r="N6" s="2203"/>
      <c r="O6" s="2203"/>
      <c r="P6" s="2203"/>
      <c r="Q6" s="2204"/>
    </row>
    <row r="7" spans="1:17">
      <c r="B7" s="677">
        <v>2</v>
      </c>
      <c r="C7" s="2205"/>
      <c r="D7" s="2206"/>
      <c r="E7" s="2206"/>
      <c r="F7" s="2206"/>
      <c r="G7" s="2206"/>
      <c r="H7" s="2206"/>
      <c r="I7" s="2206"/>
      <c r="J7" s="2206"/>
      <c r="K7" s="2206"/>
      <c r="L7" s="2206"/>
      <c r="M7" s="2206"/>
      <c r="N7" s="2206"/>
      <c r="O7" s="2206"/>
      <c r="P7" s="2206"/>
      <c r="Q7" s="2207"/>
    </row>
    <row r="8" spans="1:17">
      <c r="B8" s="677">
        <v>3</v>
      </c>
      <c r="C8" s="2208"/>
      <c r="D8" s="2209"/>
      <c r="E8" s="2209"/>
      <c r="F8" s="2209"/>
      <c r="G8" s="2209"/>
      <c r="H8" s="2209"/>
      <c r="I8" s="2209"/>
      <c r="J8" s="2209"/>
      <c r="K8" s="2209"/>
      <c r="L8" s="2209"/>
      <c r="M8" s="2209"/>
      <c r="N8" s="2209"/>
      <c r="O8" s="2209"/>
      <c r="P8" s="2209"/>
      <c r="Q8" s="2210"/>
    </row>
    <row r="10" spans="1:17">
      <c r="C10" t="s">
        <v>1784</v>
      </c>
    </row>
  </sheetData>
  <mergeCells count="1">
    <mergeCell ref="C6:Q8"/>
  </mergeCells>
  <printOptions horizontalCentered="1"/>
  <pageMargins left="0.70866141732283472" right="0.70866141732283472" top="0.74803149606299213" bottom="0.74803149606299213" header="0.31496062992125984" footer="0.31496062992125984"/>
  <pageSetup paperSize="5" scale="9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FF"/>
    <pageSetUpPr fitToPage="1"/>
  </sheetPr>
  <dimension ref="A1:L31"/>
  <sheetViews>
    <sheetView view="pageBreakPreview" zoomScale="85" zoomScaleNormal="70" zoomScaleSheetLayoutView="85" workbookViewId="0">
      <selection activeCell="L12" sqref="L12"/>
    </sheetView>
  </sheetViews>
  <sheetFormatPr defaultColWidth="14.796875" defaultRowHeight="14.25"/>
  <cols>
    <col min="1" max="1" width="5.796875" style="3" bestFit="1" customWidth="1"/>
    <col min="2" max="2" width="38.46484375" style="3" customWidth="1"/>
    <col min="3" max="3" width="12.19921875" style="3" bestFit="1" customWidth="1"/>
    <col min="4" max="4" width="12.19921875" style="3" customWidth="1"/>
    <col min="5" max="6" width="13.19921875" style="3" customWidth="1"/>
    <col min="7" max="7" width="16.19921875" style="3" bestFit="1" customWidth="1"/>
    <col min="8" max="9" width="13.19921875" style="3" customWidth="1"/>
    <col min="10" max="10" width="17.19921875" style="3" customWidth="1"/>
    <col min="11" max="11" width="18.46484375" style="3" customWidth="1"/>
    <col min="12" max="254" width="14.796875" style="3"/>
    <col min="255" max="255" width="4.796875" style="3" customWidth="1"/>
    <col min="256" max="256" width="45.19921875" style="3" customWidth="1"/>
    <col min="257" max="259" width="10.19921875" style="3" customWidth="1"/>
    <col min="260" max="510" width="14.796875" style="3"/>
    <col min="511" max="511" width="4.796875" style="3" customWidth="1"/>
    <col min="512" max="512" width="45.19921875" style="3" customWidth="1"/>
    <col min="513" max="515" width="10.19921875" style="3" customWidth="1"/>
    <col min="516" max="766" width="14.796875" style="3"/>
    <col min="767" max="767" width="4.796875" style="3" customWidth="1"/>
    <col min="768" max="768" width="45.19921875" style="3" customWidth="1"/>
    <col min="769" max="771" width="10.19921875" style="3" customWidth="1"/>
    <col min="772" max="1022" width="14.796875" style="3"/>
    <col min="1023" max="1023" width="4.796875" style="3" customWidth="1"/>
    <col min="1024" max="1024" width="45.19921875" style="3" customWidth="1"/>
    <col min="1025" max="1027" width="10.19921875" style="3" customWidth="1"/>
    <col min="1028" max="1278" width="14.796875" style="3"/>
    <col min="1279" max="1279" width="4.796875" style="3" customWidth="1"/>
    <col min="1280" max="1280" width="45.19921875" style="3" customWidth="1"/>
    <col min="1281" max="1283" width="10.19921875" style="3" customWidth="1"/>
    <col min="1284" max="1534" width="14.796875" style="3"/>
    <col min="1535" max="1535" width="4.796875" style="3" customWidth="1"/>
    <col min="1536" max="1536" width="45.19921875" style="3" customWidth="1"/>
    <col min="1537" max="1539" width="10.19921875" style="3" customWidth="1"/>
    <col min="1540" max="1790" width="14.796875" style="3"/>
    <col min="1791" max="1791" width="4.796875" style="3" customWidth="1"/>
    <col min="1792" max="1792" width="45.19921875" style="3" customWidth="1"/>
    <col min="1793" max="1795" width="10.19921875" style="3" customWidth="1"/>
    <col min="1796" max="2046" width="14.796875" style="3"/>
    <col min="2047" max="2047" width="4.796875" style="3" customWidth="1"/>
    <col min="2048" max="2048" width="45.19921875" style="3" customWidth="1"/>
    <col min="2049" max="2051" width="10.19921875" style="3" customWidth="1"/>
    <col min="2052" max="2302" width="14.796875" style="3"/>
    <col min="2303" max="2303" width="4.796875" style="3" customWidth="1"/>
    <col min="2304" max="2304" width="45.19921875" style="3" customWidth="1"/>
    <col min="2305" max="2307" width="10.19921875" style="3" customWidth="1"/>
    <col min="2308" max="2558" width="14.796875" style="3"/>
    <col min="2559" max="2559" width="4.796875" style="3" customWidth="1"/>
    <col min="2560" max="2560" width="45.19921875" style="3" customWidth="1"/>
    <col min="2561" max="2563" width="10.19921875" style="3" customWidth="1"/>
    <col min="2564" max="2814" width="14.796875" style="3"/>
    <col min="2815" max="2815" width="4.796875" style="3" customWidth="1"/>
    <col min="2816" max="2816" width="45.19921875" style="3" customWidth="1"/>
    <col min="2817" max="2819" width="10.19921875" style="3" customWidth="1"/>
    <col min="2820" max="3070" width="14.796875" style="3"/>
    <col min="3071" max="3071" width="4.796875" style="3" customWidth="1"/>
    <col min="3072" max="3072" width="45.19921875" style="3" customWidth="1"/>
    <col min="3073" max="3075" width="10.19921875" style="3" customWidth="1"/>
    <col min="3076" max="3326" width="14.796875" style="3"/>
    <col min="3327" max="3327" width="4.796875" style="3" customWidth="1"/>
    <col min="3328" max="3328" width="45.19921875" style="3" customWidth="1"/>
    <col min="3329" max="3331" width="10.19921875" style="3" customWidth="1"/>
    <col min="3332" max="3582" width="14.796875" style="3"/>
    <col min="3583" max="3583" width="4.796875" style="3" customWidth="1"/>
    <col min="3584" max="3584" width="45.19921875" style="3" customWidth="1"/>
    <col min="3585" max="3587" width="10.19921875" style="3" customWidth="1"/>
    <col min="3588" max="3838" width="14.796875" style="3"/>
    <col min="3839" max="3839" width="4.796875" style="3" customWidth="1"/>
    <col min="3840" max="3840" width="45.19921875" style="3" customWidth="1"/>
    <col min="3841" max="3843" width="10.19921875" style="3" customWidth="1"/>
    <col min="3844" max="4094" width="14.796875" style="3"/>
    <col min="4095" max="4095" width="4.796875" style="3" customWidth="1"/>
    <col min="4096" max="4096" width="45.19921875" style="3" customWidth="1"/>
    <col min="4097" max="4099" width="10.19921875" style="3" customWidth="1"/>
    <col min="4100" max="4350" width="14.796875" style="3"/>
    <col min="4351" max="4351" width="4.796875" style="3" customWidth="1"/>
    <col min="4352" max="4352" width="45.19921875" style="3" customWidth="1"/>
    <col min="4353" max="4355" width="10.19921875" style="3" customWidth="1"/>
    <col min="4356" max="4606" width="14.796875" style="3"/>
    <col min="4607" max="4607" width="4.796875" style="3" customWidth="1"/>
    <col min="4608" max="4608" width="45.19921875" style="3" customWidth="1"/>
    <col min="4609" max="4611" width="10.19921875" style="3" customWidth="1"/>
    <col min="4612" max="4862" width="14.796875" style="3"/>
    <col min="4863" max="4863" width="4.796875" style="3" customWidth="1"/>
    <col min="4864" max="4864" width="45.19921875" style="3" customWidth="1"/>
    <col min="4865" max="4867" width="10.19921875" style="3" customWidth="1"/>
    <col min="4868" max="5118" width="14.796875" style="3"/>
    <col min="5119" max="5119" width="4.796875" style="3" customWidth="1"/>
    <col min="5120" max="5120" width="45.19921875" style="3" customWidth="1"/>
    <col min="5121" max="5123" width="10.19921875" style="3" customWidth="1"/>
    <col min="5124" max="5374" width="14.796875" style="3"/>
    <col min="5375" max="5375" width="4.796875" style="3" customWidth="1"/>
    <col min="5376" max="5376" width="45.19921875" style="3" customWidth="1"/>
    <col min="5377" max="5379" width="10.19921875" style="3" customWidth="1"/>
    <col min="5380" max="5630" width="14.796875" style="3"/>
    <col min="5631" max="5631" width="4.796875" style="3" customWidth="1"/>
    <col min="5632" max="5632" width="45.19921875" style="3" customWidth="1"/>
    <col min="5633" max="5635" width="10.19921875" style="3" customWidth="1"/>
    <col min="5636" max="5886" width="14.796875" style="3"/>
    <col min="5887" max="5887" width="4.796875" style="3" customWidth="1"/>
    <col min="5888" max="5888" width="45.19921875" style="3" customWidth="1"/>
    <col min="5889" max="5891" width="10.19921875" style="3" customWidth="1"/>
    <col min="5892" max="6142" width="14.796875" style="3"/>
    <col min="6143" max="6143" width="4.796875" style="3" customWidth="1"/>
    <col min="6144" max="6144" width="45.19921875" style="3" customWidth="1"/>
    <col min="6145" max="6147" width="10.19921875" style="3" customWidth="1"/>
    <col min="6148" max="6398" width="14.796875" style="3"/>
    <col min="6399" max="6399" width="4.796875" style="3" customWidth="1"/>
    <col min="6400" max="6400" width="45.19921875" style="3" customWidth="1"/>
    <col min="6401" max="6403" width="10.19921875" style="3" customWidth="1"/>
    <col min="6404" max="6654" width="14.796875" style="3"/>
    <col min="6655" max="6655" width="4.796875" style="3" customWidth="1"/>
    <col min="6656" max="6656" width="45.19921875" style="3" customWidth="1"/>
    <col min="6657" max="6659" width="10.19921875" style="3" customWidth="1"/>
    <col min="6660" max="6910" width="14.796875" style="3"/>
    <col min="6911" max="6911" width="4.796875" style="3" customWidth="1"/>
    <col min="6912" max="6912" width="45.19921875" style="3" customWidth="1"/>
    <col min="6913" max="6915" width="10.19921875" style="3" customWidth="1"/>
    <col min="6916" max="7166" width="14.796875" style="3"/>
    <col min="7167" max="7167" width="4.796875" style="3" customWidth="1"/>
    <col min="7168" max="7168" width="45.19921875" style="3" customWidth="1"/>
    <col min="7169" max="7171" width="10.19921875" style="3" customWidth="1"/>
    <col min="7172" max="7422" width="14.796875" style="3"/>
    <col min="7423" max="7423" width="4.796875" style="3" customWidth="1"/>
    <col min="7424" max="7424" width="45.19921875" style="3" customWidth="1"/>
    <col min="7425" max="7427" width="10.19921875" style="3" customWidth="1"/>
    <col min="7428" max="7678" width="14.796875" style="3"/>
    <col min="7679" max="7679" width="4.796875" style="3" customWidth="1"/>
    <col min="7680" max="7680" width="45.19921875" style="3" customWidth="1"/>
    <col min="7681" max="7683" width="10.19921875" style="3" customWidth="1"/>
    <col min="7684" max="7934" width="14.796875" style="3"/>
    <col min="7935" max="7935" width="4.796875" style="3" customWidth="1"/>
    <col min="7936" max="7936" width="45.19921875" style="3" customWidth="1"/>
    <col min="7937" max="7939" width="10.19921875" style="3" customWidth="1"/>
    <col min="7940" max="8190" width="14.796875" style="3"/>
    <col min="8191" max="8191" width="4.796875" style="3" customWidth="1"/>
    <col min="8192" max="8192" width="45.19921875" style="3" customWidth="1"/>
    <col min="8193" max="8195" width="10.19921875" style="3" customWidth="1"/>
    <col min="8196" max="8446" width="14.796875" style="3"/>
    <col min="8447" max="8447" width="4.796875" style="3" customWidth="1"/>
    <col min="8448" max="8448" width="45.19921875" style="3" customWidth="1"/>
    <col min="8449" max="8451" width="10.19921875" style="3" customWidth="1"/>
    <col min="8452" max="8702" width="14.796875" style="3"/>
    <col min="8703" max="8703" width="4.796875" style="3" customWidth="1"/>
    <col min="8704" max="8704" width="45.19921875" style="3" customWidth="1"/>
    <col min="8705" max="8707" width="10.19921875" style="3" customWidth="1"/>
    <col min="8708" max="8958" width="14.796875" style="3"/>
    <col min="8959" max="8959" width="4.796875" style="3" customWidth="1"/>
    <col min="8960" max="8960" width="45.19921875" style="3" customWidth="1"/>
    <col min="8961" max="8963" width="10.19921875" style="3" customWidth="1"/>
    <col min="8964" max="9214" width="14.796875" style="3"/>
    <col min="9215" max="9215" width="4.796875" style="3" customWidth="1"/>
    <col min="9216" max="9216" width="45.19921875" style="3" customWidth="1"/>
    <col min="9217" max="9219" width="10.19921875" style="3" customWidth="1"/>
    <col min="9220" max="9470" width="14.796875" style="3"/>
    <col min="9471" max="9471" width="4.796875" style="3" customWidth="1"/>
    <col min="9472" max="9472" width="45.19921875" style="3" customWidth="1"/>
    <col min="9473" max="9475" width="10.19921875" style="3" customWidth="1"/>
    <col min="9476" max="9726" width="14.796875" style="3"/>
    <col min="9727" max="9727" width="4.796875" style="3" customWidth="1"/>
    <col min="9728" max="9728" width="45.19921875" style="3" customWidth="1"/>
    <col min="9729" max="9731" width="10.19921875" style="3" customWidth="1"/>
    <col min="9732" max="9982" width="14.796875" style="3"/>
    <col min="9983" max="9983" width="4.796875" style="3" customWidth="1"/>
    <col min="9984" max="9984" width="45.19921875" style="3" customWidth="1"/>
    <col min="9985" max="9987" width="10.19921875" style="3" customWidth="1"/>
    <col min="9988" max="10238" width="14.796875" style="3"/>
    <col min="10239" max="10239" width="4.796875" style="3" customWidth="1"/>
    <col min="10240" max="10240" width="45.19921875" style="3" customWidth="1"/>
    <col min="10241" max="10243" width="10.19921875" style="3" customWidth="1"/>
    <col min="10244" max="10494" width="14.796875" style="3"/>
    <col min="10495" max="10495" width="4.796875" style="3" customWidth="1"/>
    <col min="10496" max="10496" width="45.19921875" style="3" customWidth="1"/>
    <col min="10497" max="10499" width="10.19921875" style="3" customWidth="1"/>
    <col min="10500" max="10750" width="14.796875" style="3"/>
    <col min="10751" max="10751" width="4.796875" style="3" customWidth="1"/>
    <col min="10752" max="10752" width="45.19921875" style="3" customWidth="1"/>
    <col min="10753" max="10755" width="10.19921875" style="3" customWidth="1"/>
    <col min="10756" max="11006" width="14.796875" style="3"/>
    <col min="11007" max="11007" width="4.796875" style="3" customWidth="1"/>
    <col min="11008" max="11008" width="45.19921875" style="3" customWidth="1"/>
    <col min="11009" max="11011" width="10.19921875" style="3" customWidth="1"/>
    <col min="11012" max="11262" width="14.796875" style="3"/>
    <col min="11263" max="11263" width="4.796875" style="3" customWidth="1"/>
    <col min="11264" max="11264" width="45.19921875" style="3" customWidth="1"/>
    <col min="11265" max="11267" width="10.19921875" style="3" customWidth="1"/>
    <col min="11268" max="11518" width="14.796875" style="3"/>
    <col min="11519" max="11519" width="4.796875" style="3" customWidth="1"/>
    <col min="11520" max="11520" width="45.19921875" style="3" customWidth="1"/>
    <col min="11521" max="11523" width="10.19921875" style="3" customWidth="1"/>
    <col min="11524" max="11774" width="14.796875" style="3"/>
    <col min="11775" max="11775" width="4.796875" style="3" customWidth="1"/>
    <col min="11776" max="11776" width="45.19921875" style="3" customWidth="1"/>
    <col min="11777" max="11779" width="10.19921875" style="3" customWidth="1"/>
    <col min="11780" max="12030" width="14.796875" style="3"/>
    <col min="12031" max="12031" width="4.796875" style="3" customWidth="1"/>
    <col min="12032" max="12032" width="45.19921875" style="3" customWidth="1"/>
    <col min="12033" max="12035" width="10.19921875" style="3" customWidth="1"/>
    <col min="12036" max="12286" width="14.796875" style="3"/>
    <col min="12287" max="12287" width="4.796875" style="3" customWidth="1"/>
    <col min="12288" max="12288" width="45.19921875" style="3" customWidth="1"/>
    <col min="12289" max="12291" width="10.19921875" style="3" customWidth="1"/>
    <col min="12292" max="12542" width="14.796875" style="3"/>
    <col min="12543" max="12543" width="4.796875" style="3" customWidth="1"/>
    <col min="12544" max="12544" width="45.19921875" style="3" customWidth="1"/>
    <col min="12545" max="12547" width="10.19921875" style="3" customWidth="1"/>
    <col min="12548" max="12798" width="14.796875" style="3"/>
    <col min="12799" max="12799" width="4.796875" style="3" customWidth="1"/>
    <col min="12800" max="12800" width="45.19921875" style="3" customWidth="1"/>
    <col min="12801" max="12803" width="10.19921875" style="3" customWidth="1"/>
    <col min="12804" max="13054" width="14.796875" style="3"/>
    <col min="13055" max="13055" width="4.796875" style="3" customWidth="1"/>
    <col min="13056" max="13056" width="45.19921875" style="3" customWidth="1"/>
    <col min="13057" max="13059" width="10.19921875" style="3" customWidth="1"/>
    <col min="13060" max="13310" width="14.796875" style="3"/>
    <col min="13311" max="13311" width="4.796875" style="3" customWidth="1"/>
    <col min="13312" max="13312" width="45.19921875" style="3" customWidth="1"/>
    <col min="13313" max="13315" width="10.19921875" style="3" customWidth="1"/>
    <col min="13316" max="13566" width="14.796875" style="3"/>
    <col min="13567" max="13567" width="4.796875" style="3" customWidth="1"/>
    <col min="13568" max="13568" width="45.19921875" style="3" customWidth="1"/>
    <col min="13569" max="13571" width="10.19921875" style="3" customWidth="1"/>
    <col min="13572" max="13822" width="14.796875" style="3"/>
    <col min="13823" max="13823" width="4.796875" style="3" customWidth="1"/>
    <col min="13824" max="13824" width="45.19921875" style="3" customWidth="1"/>
    <col min="13825" max="13827" width="10.19921875" style="3" customWidth="1"/>
    <col min="13828" max="14078" width="14.796875" style="3"/>
    <col min="14079" max="14079" width="4.796875" style="3" customWidth="1"/>
    <col min="14080" max="14080" width="45.19921875" style="3" customWidth="1"/>
    <col min="14081" max="14083" width="10.19921875" style="3" customWidth="1"/>
    <col min="14084" max="14334" width="14.796875" style="3"/>
    <col min="14335" max="14335" width="4.796875" style="3" customWidth="1"/>
    <col min="14336" max="14336" width="45.19921875" style="3" customWidth="1"/>
    <col min="14337" max="14339" width="10.19921875" style="3" customWidth="1"/>
    <col min="14340" max="14590" width="14.796875" style="3"/>
    <col min="14591" max="14591" width="4.796875" style="3" customWidth="1"/>
    <col min="14592" max="14592" width="45.19921875" style="3" customWidth="1"/>
    <col min="14593" max="14595" width="10.19921875" style="3" customWidth="1"/>
    <col min="14596" max="14846" width="14.796875" style="3"/>
    <col min="14847" max="14847" width="4.796875" style="3" customWidth="1"/>
    <col min="14848" max="14848" width="45.19921875" style="3" customWidth="1"/>
    <col min="14849" max="14851" width="10.19921875" style="3" customWidth="1"/>
    <col min="14852" max="15102" width="14.796875" style="3"/>
    <col min="15103" max="15103" width="4.796875" style="3" customWidth="1"/>
    <col min="15104" max="15104" width="45.19921875" style="3" customWidth="1"/>
    <col min="15105" max="15107" width="10.19921875" style="3" customWidth="1"/>
    <col min="15108" max="15358" width="14.796875" style="3"/>
    <col min="15359" max="15359" width="4.796875" style="3" customWidth="1"/>
    <col min="15360" max="15360" width="45.19921875" style="3" customWidth="1"/>
    <col min="15361" max="15363" width="10.19921875" style="3" customWidth="1"/>
    <col min="15364" max="15614" width="14.796875" style="3"/>
    <col min="15615" max="15615" width="4.796875" style="3" customWidth="1"/>
    <col min="15616" max="15616" width="45.19921875" style="3" customWidth="1"/>
    <col min="15617" max="15619" width="10.19921875" style="3" customWidth="1"/>
    <col min="15620" max="15870" width="14.796875" style="3"/>
    <col min="15871" max="15871" width="4.796875" style="3" customWidth="1"/>
    <col min="15872" max="15872" width="45.19921875" style="3" customWidth="1"/>
    <col min="15873" max="15875" width="10.19921875" style="3" customWidth="1"/>
    <col min="15876" max="16126" width="14.796875" style="3"/>
    <col min="16127" max="16127" width="4.796875" style="3" customWidth="1"/>
    <col min="16128" max="16128" width="45.19921875" style="3" customWidth="1"/>
    <col min="16129" max="16131" width="10.19921875" style="3" customWidth="1"/>
    <col min="16132" max="16384" width="14.796875" style="3"/>
  </cols>
  <sheetData>
    <row r="1" spans="1:12">
      <c r="A1" s="1507" t="s">
        <v>1789</v>
      </c>
      <c r="B1" s="1507"/>
    </row>
    <row r="2" spans="1:12">
      <c r="A2" s="1585" t="str">
        <f>+'BS3'!A2</f>
        <v>NIDP DEVELOPERS PRIVATE LIMITED</v>
      </c>
      <c r="B2" s="1585"/>
      <c r="C2" s="1585"/>
      <c r="D2" s="1585"/>
      <c r="E2" s="1585"/>
      <c r="F2" s="1585"/>
      <c r="G2" s="1585"/>
      <c r="H2" s="1585"/>
      <c r="I2" s="1585"/>
      <c r="J2" s="39"/>
    </row>
    <row r="3" spans="1:12" ht="15" customHeight="1">
      <c r="A3" s="173" t="s">
        <v>152</v>
      </c>
      <c r="B3" s="173"/>
      <c r="C3" s="173"/>
      <c r="D3" s="173"/>
      <c r="E3" s="173"/>
      <c r="F3" s="173"/>
      <c r="G3" s="173"/>
      <c r="H3" s="1582"/>
      <c r="I3" s="1582"/>
      <c r="J3" s="55"/>
      <c r="K3" s="1582"/>
      <c r="L3" s="1582"/>
    </row>
    <row r="5" spans="1:12">
      <c r="A5" s="1587" t="s">
        <v>74</v>
      </c>
      <c r="B5" s="1583" t="s">
        <v>10</v>
      </c>
      <c r="C5" s="1583" t="s">
        <v>355</v>
      </c>
      <c r="D5" s="1583" t="s">
        <v>354</v>
      </c>
      <c r="E5" s="1570" t="s">
        <v>349</v>
      </c>
      <c r="F5" s="1586"/>
      <c r="G5" s="1573" t="s">
        <v>336</v>
      </c>
      <c r="H5" s="1573"/>
      <c r="I5" s="1573"/>
      <c r="J5" s="1568" t="s">
        <v>344</v>
      </c>
      <c r="K5" s="1569"/>
      <c r="L5" s="147" t="s">
        <v>739</v>
      </c>
    </row>
    <row r="6" spans="1:12">
      <c r="A6" s="1588"/>
      <c r="B6" s="1584"/>
      <c r="C6" s="1584"/>
      <c r="D6" s="1584"/>
      <c r="E6" s="275" t="s">
        <v>341</v>
      </c>
      <c r="F6" s="275" t="s">
        <v>342</v>
      </c>
      <c r="G6" s="1570" t="s">
        <v>343</v>
      </c>
      <c r="H6" s="1586"/>
      <c r="I6" s="1571"/>
      <c r="J6" s="1570" t="s">
        <v>1442</v>
      </c>
      <c r="K6" s="1571"/>
      <c r="L6" s="275" t="s">
        <v>2024</v>
      </c>
    </row>
    <row r="7" spans="1:12">
      <c r="A7" s="1588"/>
      <c r="B7" s="1584"/>
      <c r="C7" s="1584"/>
      <c r="D7" s="1584"/>
      <c r="E7" s="168" t="s">
        <v>347</v>
      </c>
      <c r="F7" s="168" t="s">
        <v>347</v>
      </c>
      <c r="G7" s="195" t="s">
        <v>337</v>
      </c>
      <c r="H7" s="195" t="s">
        <v>182</v>
      </c>
      <c r="I7" s="195" t="s">
        <v>338</v>
      </c>
      <c r="J7" s="195" t="s">
        <v>337</v>
      </c>
      <c r="K7" s="195" t="s">
        <v>346</v>
      </c>
      <c r="L7" s="195" t="s">
        <v>183</v>
      </c>
    </row>
    <row r="8" spans="1:12" s="517" customFormat="1">
      <c r="A8" s="553" t="s">
        <v>32</v>
      </c>
      <c r="B8" s="554" t="s">
        <v>326</v>
      </c>
      <c r="C8" s="553" t="s">
        <v>198</v>
      </c>
      <c r="D8" s="555"/>
      <c r="E8" s="1576" t="s">
        <v>2062</v>
      </c>
      <c r="F8" s="1577"/>
      <c r="G8" s="717">
        <f>ARR!E9</f>
        <v>0</v>
      </c>
      <c r="H8" s="717">
        <f>ARR!F9</f>
        <v>37.540040376137725</v>
      </c>
      <c r="I8" s="717">
        <f>ARR!G9</f>
        <v>37.540040376137725</v>
      </c>
      <c r="J8" s="7"/>
      <c r="K8" s="717">
        <f>ARR!H9</f>
        <v>61.157459186384557</v>
      </c>
      <c r="L8" s="717">
        <f>ARR!I9</f>
        <v>100.99122120000001</v>
      </c>
    </row>
    <row r="9" spans="1:12">
      <c r="A9" s="101"/>
      <c r="B9" s="196"/>
      <c r="C9" s="101"/>
      <c r="D9" s="68"/>
      <c r="E9" s="1578"/>
      <c r="F9" s="1579"/>
      <c r="G9" s="7"/>
      <c r="H9" s="7"/>
      <c r="I9" s="7"/>
      <c r="J9" s="7"/>
      <c r="K9" s="7"/>
      <c r="L9" s="7"/>
    </row>
    <row r="10" spans="1:12">
      <c r="A10" s="101"/>
      <c r="B10" s="196" t="s">
        <v>510</v>
      </c>
      <c r="C10" s="101"/>
      <c r="D10" s="489"/>
      <c r="E10" s="1578"/>
      <c r="F10" s="1579"/>
      <c r="G10" s="7"/>
      <c r="H10" s="7"/>
      <c r="I10" s="7"/>
      <c r="J10" s="7"/>
      <c r="K10" s="7"/>
      <c r="L10" s="7"/>
    </row>
    <row r="11" spans="1:12">
      <c r="A11" s="101" t="s">
        <v>33</v>
      </c>
      <c r="B11" s="196" t="s">
        <v>200</v>
      </c>
      <c r="C11" s="101" t="s">
        <v>35</v>
      </c>
      <c r="D11" s="68"/>
      <c r="E11" s="1578"/>
      <c r="F11" s="1579"/>
      <c r="G11" s="718">
        <f>ARR!E10</f>
        <v>0</v>
      </c>
      <c r="H11" s="721">
        <f>ARR!F10</f>
        <v>1.8706145291897115E-2</v>
      </c>
      <c r="I11" s="721">
        <f>ARR!G10</f>
        <v>1.8706145291897115E-2</v>
      </c>
      <c r="J11" s="718"/>
      <c r="K11" s="721">
        <f>ARR!H10</f>
        <v>9.8827273120369683E-3</v>
      </c>
      <c r="L11" s="721">
        <f>ARR!I10</f>
        <v>9.882727312036866E-3</v>
      </c>
    </row>
    <row r="12" spans="1:12">
      <c r="A12" s="101" t="s">
        <v>511</v>
      </c>
      <c r="B12" s="196" t="s">
        <v>512</v>
      </c>
      <c r="C12" s="101" t="s">
        <v>198</v>
      </c>
      <c r="D12" s="68" t="s">
        <v>597</v>
      </c>
      <c r="E12" s="1578"/>
      <c r="F12" s="1579"/>
      <c r="G12" s="719">
        <f t="shared" ref="G12:J12" si="0">(G8/(1-G11)-G8)</f>
        <v>0</v>
      </c>
      <c r="H12" s="719">
        <f t="shared" si="0"/>
        <v>0.71561586386231113</v>
      </c>
      <c r="I12" s="719">
        <f t="shared" si="0"/>
        <v>0.71561586386231113</v>
      </c>
      <c r="J12" s="719">
        <f t="shared" si="0"/>
        <v>0</v>
      </c>
      <c r="K12" s="719">
        <f t="shared" ref="K12:L12" si="1">(K8/(1-K11)-K8)</f>
        <v>0.61043525742687166</v>
      </c>
      <c r="L12" s="719">
        <f t="shared" si="1"/>
        <v>1.0080307934833286</v>
      </c>
    </row>
    <row r="13" spans="1:12">
      <c r="A13" s="101"/>
      <c r="B13" s="196"/>
      <c r="C13" s="101"/>
      <c r="D13" s="68"/>
      <c r="E13" s="1578"/>
      <c r="F13" s="1579"/>
      <c r="G13" s="7"/>
      <c r="H13" s="7"/>
      <c r="I13" s="7"/>
      <c r="J13" s="7"/>
      <c r="K13" s="7"/>
      <c r="L13" s="7"/>
    </row>
    <row r="14" spans="1:12">
      <c r="A14" s="101" t="s">
        <v>513</v>
      </c>
      <c r="B14" s="196" t="s">
        <v>514</v>
      </c>
      <c r="C14" s="101" t="s">
        <v>198</v>
      </c>
      <c r="D14" s="68" t="s">
        <v>522</v>
      </c>
      <c r="E14" s="1578"/>
      <c r="F14" s="1579"/>
      <c r="G14" s="720">
        <f t="shared" ref="G14:L14" si="2">G8+G12</f>
        <v>0</v>
      </c>
      <c r="H14" s="720">
        <f t="shared" si="2"/>
        <v>38.255656240000036</v>
      </c>
      <c r="I14" s="720">
        <f t="shared" si="2"/>
        <v>38.255656240000036</v>
      </c>
      <c r="J14" s="720">
        <f t="shared" si="2"/>
        <v>0</v>
      </c>
      <c r="K14" s="720">
        <f t="shared" si="2"/>
        <v>61.767894443811429</v>
      </c>
      <c r="L14" s="720">
        <f t="shared" si="2"/>
        <v>101.99925199348334</v>
      </c>
    </row>
    <row r="15" spans="1:12">
      <c r="A15" s="101"/>
      <c r="B15" s="196"/>
      <c r="C15" s="101"/>
      <c r="D15" s="68"/>
      <c r="E15" s="1578"/>
      <c r="F15" s="1579"/>
      <c r="G15" s="7"/>
      <c r="H15" s="7"/>
      <c r="I15" s="7"/>
      <c r="J15" s="7"/>
      <c r="K15" s="7"/>
      <c r="L15" s="7"/>
    </row>
    <row r="16" spans="1:12">
      <c r="A16" s="101"/>
      <c r="B16" s="196" t="s">
        <v>515</v>
      </c>
      <c r="C16" s="101"/>
      <c r="D16" s="68"/>
      <c r="E16" s="1578"/>
      <c r="F16" s="1579"/>
      <c r="G16" s="7"/>
      <c r="H16" s="7"/>
      <c r="I16" s="7"/>
      <c r="J16" s="7"/>
      <c r="K16" s="7"/>
      <c r="L16" s="7"/>
    </row>
    <row r="17" spans="1:12">
      <c r="A17" s="101" t="s">
        <v>41</v>
      </c>
      <c r="B17" s="196" t="s">
        <v>200</v>
      </c>
      <c r="C17" s="101" t="s">
        <v>35</v>
      </c>
      <c r="D17" s="490"/>
      <c r="E17" s="1578"/>
      <c r="F17" s="1579"/>
      <c r="G17" s="722"/>
      <c r="H17" s="916">
        <f>+'[3]True-up'!$H$39</f>
        <v>3.1800000000000057E-2</v>
      </c>
      <c r="I17" s="916">
        <f>+H17</f>
        <v>3.1800000000000057E-2</v>
      </c>
      <c r="J17" s="723"/>
      <c r="K17" s="723">
        <f>+[3]APR!$I$20</f>
        <v>3.1800000000000092E-2</v>
      </c>
      <c r="L17" s="723">
        <f>+'[3]ARR 26-27'!$F$15</f>
        <v>3.1800000000000044E-2</v>
      </c>
    </row>
    <row r="18" spans="1:12">
      <c r="A18" s="101" t="s">
        <v>42</v>
      </c>
      <c r="B18" s="196" t="s">
        <v>512</v>
      </c>
      <c r="C18" s="101" t="s">
        <v>198</v>
      </c>
      <c r="D18" s="68" t="s">
        <v>598</v>
      </c>
      <c r="E18" s="1578"/>
      <c r="F18" s="1579"/>
      <c r="G18" s="724">
        <f t="shared" ref="G18:L18" si="3">(G14/(1-G17)-G14)</f>
        <v>0</v>
      </c>
      <c r="H18" s="724">
        <f t="shared" si="3"/>
        <v>1.2564861272794943</v>
      </c>
      <c r="I18" s="724">
        <f t="shared" si="3"/>
        <v>1.2564861272794943</v>
      </c>
      <c r="J18" s="724">
        <f t="shared" si="3"/>
        <v>0</v>
      </c>
      <c r="K18" s="724">
        <f t="shared" si="3"/>
        <v>2.0287327445912098</v>
      </c>
      <c r="L18" s="724">
        <f t="shared" si="3"/>
        <v>3.3501097019136239</v>
      </c>
    </row>
    <row r="19" spans="1:12">
      <c r="A19" s="101"/>
      <c r="B19" s="196"/>
      <c r="C19" s="101"/>
      <c r="D19" s="68"/>
      <c r="E19" s="1578"/>
      <c r="F19" s="1579"/>
      <c r="G19" s="7"/>
      <c r="H19" s="7"/>
      <c r="I19" s="7"/>
      <c r="J19" s="7"/>
      <c r="K19" s="7"/>
      <c r="L19" s="7"/>
    </row>
    <row r="20" spans="1:12">
      <c r="A20" s="101" t="s">
        <v>516</v>
      </c>
      <c r="B20" s="1574" t="s">
        <v>517</v>
      </c>
      <c r="C20" s="101" t="s">
        <v>198</v>
      </c>
      <c r="D20" s="68" t="s">
        <v>523</v>
      </c>
      <c r="E20" s="1578"/>
      <c r="F20" s="1579"/>
      <c r="G20" s="720">
        <f t="shared" ref="G20:L20" si="4">G14+G18</f>
        <v>0</v>
      </c>
      <c r="H20" s="720">
        <f t="shared" si="4"/>
        <v>39.51214236727953</v>
      </c>
      <c r="I20" s="720">
        <f t="shared" si="4"/>
        <v>39.51214236727953</v>
      </c>
      <c r="J20" s="720">
        <f t="shared" si="4"/>
        <v>0</v>
      </c>
      <c r="K20" s="720">
        <f t="shared" si="4"/>
        <v>63.796627188402638</v>
      </c>
      <c r="L20" s="720">
        <f t="shared" si="4"/>
        <v>105.34936169539696</v>
      </c>
    </row>
    <row r="21" spans="1:12">
      <c r="A21" s="101"/>
      <c r="B21" s="1575"/>
      <c r="C21" s="101"/>
      <c r="D21" s="68"/>
      <c r="E21" s="1578"/>
      <c r="F21" s="1579"/>
      <c r="G21" s="7"/>
      <c r="H21" s="7"/>
      <c r="I21" s="7"/>
      <c r="J21" s="7"/>
      <c r="K21" s="7"/>
      <c r="L21" s="7"/>
    </row>
    <row r="22" spans="1:12" ht="23.25" customHeight="1">
      <c r="A22" s="101" t="s">
        <v>518</v>
      </c>
      <c r="B22" s="1574" t="s">
        <v>599</v>
      </c>
      <c r="C22" s="101" t="s">
        <v>198</v>
      </c>
      <c r="D22" s="68"/>
      <c r="E22" s="1578"/>
      <c r="F22" s="1579"/>
      <c r="G22" s="7"/>
      <c r="H22" s="799">
        <v>0</v>
      </c>
      <c r="I22" s="799">
        <v>0</v>
      </c>
      <c r="J22" s="7"/>
      <c r="K22" s="7"/>
      <c r="L22" s="7"/>
    </row>
    <row r="23" spans="1:12" ht="24.75" customHeight="1">
      <c r="A23" s="196"/>
      <c r="B23" s="1575"/>
      <c r="C23" s="101"/>
      <c r="D23" s="68"/>
      <c r="E23" s="1578"/>
      <c r="F23" s="1579"/>
      <c r="G23" s="7"/>
      <c r="H23" s="7"/>
      <c r="I23" s="7"/>
      <c r="J23" s="7"/>
      <c r="K23" s="7"/>
      <c r="L23" s="7"/>
    </row>
    <row r="24" spans="1:12" ht="25.5" customHeight="1">
      <c r="A24" s="101" t="s">
        <v>92</v>
      </c>
      <c r="B24" s="1574" t="s">
        <v>519</v>
      </c>
      <c r="C24" s="101" t="s">
        <v>198</v>
      </c>
      <c r="D24" s="68"/>
      <c r="E24" s="1578"/>
      <c r="F24" s="1579"/>
      <c r="G24" s="7"/>
      <c r="H24" s="799">
        <v>0</v>
      </c>
      <c r="I24" s="799">
        <v>0</v>
      </c>
      <c r="J24" s="7"/>
      <c r="K24" s="7"/>
      <c r="L24" s="7"/>
    </row>
    <row r="25" spans="1:12" ht="25.5" customHeight="1">
      <c r="A25" s="101"/>
      <c r="B25" s="1575"/>
      <c r="C25" s="101"/>
      <c r="D25" s="68"/>
      <c r="E25" s="1578"/>
      <c r="F25" s="1579"/>
      <c r="G25" s="7"/>
      <c r="H25" s="7"/>
      <c r="I25" s="7"/>
      <c r="J25" s="7"/>
      <c r="K25" s="7"/>
      <c r="L25" s="7"/>
    </row>
    <row r="26" spans="1:12">
      <c r="A26" s="101" t="s">
        <v>155</v>
      </c>
      <c r="B26" s="196" t="s">
        <v>520</v>
      </c>
      <c r="C26" s="101" t="s">
        <v>35</v>
      </c>
      <c r="D26" s="68"/>
      <c r="E26" s="1578"/>
      <c r="F26" s="1579"/>
      <c r="G26" s="1572"/>
      <c r="H26" s="1572"/>
      <c r="I26" s="1572"/>
      <c r="J26" s="389"/>
      <c r="K26" s="7"/>
      <c r="L26" s="7"/>
    </row>
    <row r="27" spans="1:12" ht="23.25" customHeight="1">
      <c r="A27" s="101" t="s">
        <v>316</v>
      </c>
      <c r="B27" s="1574" t="s">
        <v>521</v>
      </c>
      <c r="C27" s="101" t="s">
        <v>198</v>
      </c>
      <c r="D27" s="68" t="s">
        <v>524</v>
      </c>
      <c r="E27" s="1578"/>
      <c r="F27" s="1579"/>
      <c r="G27" s="725">
        <f t="shared" ref="G27:J27" si="5">G24*(1-G26)</f>
        <v>0</v>
      </c>
      <c r="H27" s="725">
        <f>+H20</f>
        <v>39.51214236727953</v>
      </c>
      <c r="I27" s="725">
        <f>+I20</f>
        <v>39.51214236727953</v>
      </c>
      <c r="J27" s="725">
        <f t="shared" si="5"/>
        <v>0</v>
      </c>
      <c r="K27" s="725">
        <f>+K20</f>
        <v>63.796627188402638</v>
      </c>
      <c r="L27" s="725">
        <f>+L20</f>
        <v>105.34936169539696</v>
      </c>
    </row>
    <row r="28" spans="1:12" ht="25.5" customHeight="1">
      <c r="A28" s="101"/>
      <c r="B28" s="1575"/>
      <c r="C28" s="101"/>
      <c r="D28" s="68"/>
      <c r="E28" s="1578"/>
      <c r="F28" s="1579"/>
      <c r="G28" s="725"/>
      <c r="H28" s="725"/>
      <c r="I28" s="725"/>
      <c r="J28" s="725"/>
      <c r="K28" s="725"/>
      <c r="L28" s="725"/>
    </row>
    <row r="29" spans="1:12">
      <c r="A29" s="101" t="s">
        <v>317</v>
      </c>
      <c r="B29" s="1567" t="s">
        <v>600</v>
      </c>
      <c r="C29" s="101" t="s">
        <v>198</v>
      </c>
      <c r="D29" s="68" t="s">
        <v>525</v>
      </c>
      <c r="E29" s="1580"/>
      <c r="F29" s="1581"/>
      <c r="G29" s="725">
        <f t="shared" ref="G29:L29" si="6">G24+G27</f>
        <v>0</v>
      </c>
      <c r="H29" s="725">
        <f t="shared" si="6"/>
        <v>39.51214236727953</v>
      </c>
      <c r="I29" s="725">
        <f t="shared" si="6"/>
        <v>39.51214236727953</v>
      </c>
      <c r="J29" s="725">
        <f t="shared" si="6"/>
        <v>0</v>
      </c>
      <c r="K29" s="725">
        <f t="shared" si="6"/>
        <v>63.796627188402638</v>
      </c>
      <c r="L29" s="725">
        <f t="shared" si="6"/>
        <v>105.34936169539696</v>
      </c>
    </row>
    <row r="30" spans="1:12">
      <c r="A30" s="7"/>
      <c r="B30" s="1567"/>
      <c r="C30" s="7"/>
      <c r="D30" s="7"/>
      <c r="E30" s="7"/>
      <c r="F30" s="7"/>
      <c r="G30" s="7"/>
      <c r="H30" s="7"/>
      <c r="I30" s="7"/>
      <c r="J30" s="7"/>
      <c r="K30" s="7"/>
      <c r="L30" s="7"/>
    </row>
    <row r="31" spans="1:12">
      <c r="A31" s="3" t="s">
        <v>533</v>
      </c>
    </row>
  </sheetData>
  <mergeCells count="20">
    <mergeCell ref="K3:L3"/>
    <mergeCell ref="B5:B7"/>
    <mergeCell ref="C5:C7"/>
    <mergeCell ref="A1:B1"/>
    <mergeCell ref="B24:B25"/>
    <mergeCell ref="B20:B21"/>
    <mergeCell ref="B22:B23"/>
    <mergeCell ref="A2:I2"/>
    <mergeCell ref="H3:I3"/>
    <mergeCell ref="E5:F5"/>
    <mergeCell ref="D5:D7"/>
    <mergeCell ref="A5:A7"/>
    <mergeCell ref="G6:I6"/>
    <mergeCell ref="B29:B30"/>
    <mergeCell ref="J5:K5"/>
    <mergeCell ref="J6:K6"/>
    <mergeCell ref="G26:I26"/>
    <mergeCell ref="G5:I5"/>
    <mergeCell ref="B27:B28"/>
    <mergeCell ref="E8:F29"/>
  </mergeCells>
  <printOptions horizontalCentered="1"/>
  <pageMargins left="0.70866141732283472" right="0.70866141732283472" top="0.74803149606299213" bottom="0.74803149606299213" header="0.31496062992125984" footer="0.31496062992125984"/>
  <pageSetup paperSize="5"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00FFFF"/>
  </sheetPr>
  <dimension ref="A1:N96"/>
  <sheetViews>
    <sheetView showGridLines="0" view="pageBreakPreview" topLeftCell="A63" zoomScale="60" zoomScaleNormal="74" workbookViewId="0">
      <selection activeCell="E35" sqref="E35"/>
    </sheetView>
  </sheetViews>
  <sheetFormatPr defaultColWidth="9.19921875" defaultRowHeight="14.25"/>
  <cols>
    <col min="1" max="1" width="5.19921875" style="9" customWidth="1"/>
    <col min="2" max="2" width="41.19921875" style="9" customWidth="1"/>
    <col min="3" max="3" width="15.796875" style="312" customWidth="1"/>
    <col min="4" max="4" width="15.796875" style="9" customWidth="1"/>
    <col min="5" max="5" width="16.33203125" style="9" customWidth="1"/>
    <col min="6" max="6" width="16" style="9" customWidth="1"/>
    <col min="7" max="7" width="23.46484375" style="9" customWidth="1"/>
    <col min="8" max="8" width="37.19921875" style="9" customWidth="1"/>
    <col min="9" max="9" width="13.19921875" style="9" customWidth="1"/>
    <col min="10" max="10" width="26.46484375" style="9" customWidth="1"/>
    <col min="11" max="16384" width="9.19921875" style="9"/>
  </cols>
  <sheetData>
    <row r="1" spans="1:14">
      <c r="A1" s="1597" t="s">
        <v>1253</v>
      </c>
      <c r="B1" s="1597"/>
    </row>
    <row r="2" spans="1:14">
      <c r="A2" s="241" t="str">
        <f>+'BS1'!A2</f>
        <v>NIDP DEVELOPERS PRIVATE LIMITED</v>
      </c>
      <c r="B2" s="39"/>
      <c r="C2" s="39"/>
      <c r="D2" s="39"/>
      <c r="E2" s="39"/>
      <c r="F2" s="39"/>
    </row>
    <row r="3" spans="1:14">
      <c r="A3" s="279" t="s">
        <v>731</v>
      </c>
      <c r="B3" s="279"/>
    </row>
    <row r="4" spans="1:14" ht="56.25" customHeight="1">
      <c r="A4" s="1595" t="s">
        <v>74</v>
      </c>
      <c r="B4" s="1594" t="s">
        <v>747</v>
      </c>
      <c r="C4" s="1594" t="s">
        <v>34</v>
      </c>
      <c r="D4" s="319" t="s">
        <v>717</v>
      </c>
      <c r="E4" s="319" t="s">
        <v>732</v>
      </c>
      <c r="F4" s="319" t="s">
        <v>733</v>
      </c>
      <c r="G4" s="1594" t="s">
        <v>80</v>
      </c>
      <c r="H4" s="319" t="s">
        <v>734</v>
      </c>
      <c r="I4" s="319" t="s">
        <v>735</v>
      </c>
      <c r="J4" s="1594" t="s">
        <v>80</v>
      </c>
    </row>
    <row r="5" spans="1:14" ht="12.75" customHeight="1">
      <c r="A5" s="1595"/>
      <c r="B5" s="1594"/>
      <c r="C5" s="1594"/>
      <c r="D5" s="1594" t="s">
        <v>722</v>
      </c>
      <c r="E5" s="1594" t="s">
        <v>723</v>
      </c>
      <c r="F5" s="1594" t="s">
        <v>736</v>
      </c>
      <c r="G5" s="1594"/>
      <c r="H5" s="1594" t="s">
        <v>737</v>
      </c>
      <c r="I5" s="1594" t="s">
        <v>738</v>
      </c>
      <c r="J5" s="1594"/>
    </row>
    <row r="6" spans="1:14" ht="7.5" hidden="1" customHeight="1">
      <c r="A6" s="1595"/>
      <c r="B6" s="1594"/>
      <c r="C6" s="1594"/>
      <c r="D6" s="1594"/>
      <c r="E6" s="1594"/>
      <c r="F6" s="1594"/>
      <c r="G6" s="1594"/>
      <c r="H6" s="1594"/>
      <c r="I6" s="1594"/>
      <c r="J6" s="1594"/>
    </row>
    <row r="7" spans="1:14" ht="12.75" customHeight="1">
      <c r="A7" s="1596"/>
      <c r="B7" s="1594"/>
      <c r="C7" s="1594"/>
      <c r="D7" s="1594" t="s">
        <v>739</v>
      </c>
      <c r="E7" s="1594"/>
      <c r="F7" s="1594"/>
      <c r="G7" s="1594"/>
      <c r="H7" s="319" t="s">
        <v>350</v>
      </c>
      <c r="I7" s="1594"/>
      <c r="J7" s="1594"/>
    </row>
    <row r="8" spans="1:14" s="576" customFormat="1" ht="28.5">
      <c r="A8" s="574" t="s">
        <v>11</v>
      </c>
      <c r="B8" s="575" t="s">
        <v>1377</v>
      </c>
      <c r="C8" s="6" t="s">
        <v>198</v>
      </c>
      <c r="D8" s="1561" t="s">
        <v>2196</v>
      </c>
      <c r="E8" s="675">
        <f>+'Energy Balance'!K14</f>
        <v>61.767894443811429</v>
      </c>
      <c r="F8" s="1561" t="s">
        <v>2196</v>
      </c>
      <c r="G8" s="304"/>
      <c r="H8" s="987">
        <f>+'True up-snapshot'!F8</f>
        <v>38.255656240000036</v>
      </c>
      <c r="I8" s="990">
        <f>(E8-H8)/H8</f>
        <v>0.61460815248614253</v>
      </c>
      <c r="J8" s="320"/>
      <c r="N8" s="482"/>
    </row>
    <row r="9" spans="1:14" s="576" customFormat="1">
      <c r="A9" s="574" t="s">
        <v>12</v>
      </c>
      <c r="B9" s="577" t="s">
        <v>158</v>
      </c>
      <c r="C9" s="6" t="s">
        <v>198</v>
      </c>
      <c r="D9" s="1562"/>
      <c r="E9" s="675">
        <f>+'Energy Balance'!K8</f>
        <v>61.157459186384557</v>
      </c>
      <c r="F9" s="1562"/>
      <c r="G9" s="320"/>
      <c r="H9" s="987">
        <f>+'True up-snapshot'!F9</f>
        <v>37.540040376137725</v>
      </c>
      <c r="I9" s="990">
        <f>(E9-H9)/H9</f>
        <v>0.62912608973269013</v>
      </c>
      <c r="J9" s="320"/>
      <c r="N9" s="483"/>
    </row>
    <row r="10" spans="1:14" s="576" customFormat="1">
      <c r="A10" s="574" t="s">
        <v>13</v>
      </c>
      <c r="B10" s="577" t="s">
        <v>159</v>
      </c>
      <c r="C10" s="6" t="s">
        <v>35</v>
      </c>
      <c r="D10" s="1562"/>
      <c r="E10" s="970">
        <f>(E8-E9)/E8</f>
        <v>9.8827273120369683E-3</v>
      </c>
      <c r="F10" s="1562"/>
      <c r="G10" s="320"/>
      <c r="H10" s="988">
        <f>+'True up-snapshot'!F10</f>
        <v>1.8706145291897115E-2</v>
      </c>
      <c r="I10" s="990">
        <f>(E10-H10)/H10</f>
        <v>-0.47168552591549473</v>
      </c>
      <c r="J10" s="320"/>
      <c r="N10" s="484"/>
    </row>
    <row r="11" spans="1:14" s="576" customFormat="1">
      <c r="A11" s="574"/>
      <c r="B11" s="578"/>
      <c r="C11" s="6"/>
      <c r="D11" s="1562"/>
      <c r="E11" s="307"/>
      <c r="F11" s="1562"/>
      <c r="G11" s="320"/>
      <c r="H11" s="321"/>
      <c r="I11" s="320"/>
      <c r="J11" s="323"/>
      <c r="N11" s="484"/>
    </row>
    <row r="12" spans="1:14" s="576" customFormat="1">
      <c r="A12" s="574" t="s">
        <v>85</v>
      </c>
      <c r="B12" s="579" t="s">
        <v>14</v>
      </c>
      <c r="C12" s="6"/>
      <c r="D12" s="1562"/>
      <c r="E12" s="307"/>
      <c r="F12" s="1562"/>
      <c r="G12" s="320"/>
      <c r="H12" s="321"/>
      <c r="I12" s="320"/>
      <c r="J12" s="320"/>
      <c r="N12" s="484"/>
    </row>
    <row r="13" spans="1:14" s="576" customFormat="1" ht="28.5">
      <c r="A13" s="474" t="s">
        <v>15</v>
      </c>
      <c r="B13" s="477" t="s">
        <v>165</v>
      </c>
      <c r="C13" s="290" t="s">
        <v>744</v>
      </c>
      <c r="D13" s="1562"/>
      <c r="E13" s="977">
        <f>+'ESR3_Curr Tariff'!AB16</f>
        <v>41.67454256159602</v>
      </c>
      <c r="F13" s="1562"/>
      <c r="G13" s="320"/>
      <c r="H13" s="987">
        <f>+'True up-snapshot'!F13</f>
        <v>29.901866872785767</v>
      </c>
      <c r="I13" s="990">
        <f>(E13-H13)/H13</f>
        <v>0.39371039068884289</v>
      </c>
      <c r="J13" s="320"/>
      <c r="L13" s="967">
        <f>+[3]APR!E179</f>
        <v>41.674542561596013</v>
      </c>
      <c r="M13" s="967">
        <f>+L13-E13</f>
        <v>0</v>
      </c>
      <c r="N13" s="484"/>
    </row>
    <row r="14" spans="1:14" s="576" customFormat="1">
      <c r="A14" s="580"/>
      <c r="B14" s="581" t="s">
        <v>607</v>
      </c>
      <c r="C14" s="6" t="s">
        <v>744</v>
      </c>
      <c r="D14" s="1562"/>
      <c r="E14" s="978">
        <f>+E13</f>
        <v>41.67454256159602</v>
      </c>
      <c r="F14" s="1562"/>
      <c r="G14" s="320"/>
      <c r="H14" s="978">
        <f>+H13</f>
        <v>29.901866872785767</v>
      </c>
      <c r="I14" s="990">
        <f>(E14-H14)/H14</f>
        <v>0.39371039068884289</v>
      </c>
      <c r="J14" s="112"/>
      <c r="L14" s="582"/>
      <c r="M14" s="582"/>
      <c r="N14" s="484"/>
    </row>
    <row r="15" spans="1:14" s="576" customFormat="1">
      <c r="A15" s="474"/>
      <c r="B15" s="583"/>
      <c r="C15" s="6"/>
      <c r="D15" s="1562"/>
      <c r="E15" s="979"/>
      <c r="F15" s="1562"/>
      <c r="G15" s="320"/>
      <c r="H15" s="321"/>
      <c r="I15" s="320"/>
      <c r="J15" s="320"/>
      <c r="N15" s="484"/>
    </row>
    <row r="16" spans="1:14" s="576" customFormat="1">
      <c r="A16" s="474" t="s">
        <v>33</v>
      </c>
      <c r="B16" s="579" t="s">
        <v>19</v>
      </c>
      <c r="C16" s="6"/>
      <c r="D16" s="1562"/>
      <c r="E16" s="978"/>
      <c r="F16" s="1562"/>
      <c r="G16" s="304"/>
      <c r="H16" s="305"/>
      <c r="I16" s="304"/>
      <c r="J16" s="112"/>
      <c r="N16" s="484"/>
    </row>
    <row r="17" spans="1:14" s="576" customFormat="1">
      <c r="A17" s="474" t="s">
        <v>15</v>
      </c>
      <c r="B17" s="477" t="s">
        <v>163</v>
      </c>
      <c r="C17" s="6" t="s">
        <v>744</v>
      </c>
      <c r="D17" s="1562"/>
      <c r="E17" s="981">
        <f>+F1_PP_Annual!O473-F1_PP_Annual!O447</f>
        <v>34.812261549395529</v>
      </c>
      <c r="F17" s="1562"/>
      <c r="G17" s="320"/>
      <c r="H17" s="987">
        <f>+'True up-snapshot'!F17</f>
        <v>23.966797271099999</v>
      </c>
      <c r="I17" s="990">
        <f>(E17-H17)/H17</f>
        <v>0.45252038291212859</v>
      </c>
      <c r="J17" s="320"/>
      <c r="L17" s="967"/>
      <c r="M17" s="967"/>
      <c r="N17" s="484"/>
    </row>
    <row r="18" spans="1:14" s="576" customFormat="1" ht="28.5">
      <c r="A18" s="474"/>
      <c r="B18" s="624" t="s">
        <v>1422</v>
      </c>
      <c r="C18" s="625" t="s">
        <v>744</v>
      </c>
      <c r="D18" s="1562"/>
      <c r="E18" s="982"/>
      <c r="F18" s="1562"/>
      <c r="G18" s="320"/>
      <c r="H18" s="321"/>
      <c r="I18" s="320"/>
      <c r="J18" s="320"/>
      <c r="N18" s="484"/>
    </row>
    <row r="19" spans="1:14" s="576" customFormat="1">
      <c r="A19" s="474" t="s">
        <v>16</v>
      </c>
      <c r="B19" s="477" t="s">
        <v>164</v>
      </c>
      <c r="C19" s="6" t="s">
        <v>744</v>
      </c>
      <c r="D19" s="1562"/>
      <c r="E19" s="982">
        <f>+F1_PP_Annual!O447</f>
        <v>0.2255316277277421</v>
      </c>
      <c r="F19" s="1562"/>
      <c r="G19" s="320"/>
      <c r="H19" s="987">
        <f>+'True up-snapshot'!F19</f>
        <v>0.94260739999999998</v>
      </c>
      <c r="I19" s="990">
        <f>(E19-H19)/H19</f>
        <v>-0.76073641292467875</v>
      </c>
      <c r="J19" s="320"/>
      <c r="L19" s="967"/>
      <c r="M19" s="967"/>
      <c r="N19" s="484"/>
    </row>
    <row r="20" spans="1:14" s="576" customFormat="1">
      <c r="A20" s="474" t="s">
        <v>17</v>
      </c>
      <c r="B20" s="477" t="s">
        <v>628</v>
      </c>
      <c r="C20" s="6" t="s">
        <v>744</v>
      </c>
      <c r="D20" s="1562"/>
      <c r="E20" s="982"/>
      <c r="F20" s="1562"/>
      <c r="G20" s="320"/>
      <c r="H20" s="321"/>
      <c r="I20" s="320"/>
      <c r="J20" s="320"/>
      <c r="L20" s="967"/>
      <c r="N20" s="485"/>
    </row>
    <row r="21" spans="1:14" s="576" customFormat="1">
      <c r="A21" s="474" t="s">
        <v>82</v>
      </c>
      <c r="B21" s="477" t="s">
        <v>1396</v>
      </c>
      <c r="C21" s="6" t="s">
        <v>744</v>
      </c>
      <c r="D21" s="1562"/>
      <c r="E21" s="557">
        <f>+'F22_O&amp;M_R&amp;M'!F14</f>
        <v>1.846316865392424</v>
      </c>
      <c r="F21" s="1562"/>
      <c r="G21" s="296"/>
      <c r="H21" s="987">
        <f>+'True up-snapshot'!F21</f>
        <v>0</v>
      </c>
      <c r="I21" s="990">
        <f>IFERROR((E21-H21)/H21,0)</f>
        <v>0</v>
      </c>
      <c r="J21" s="112"/>
      <c r="L21" s="967"/>
      <c r="M21" s="967"/>
      <c r="N21" s="484"/>
    </row>
    <row r="22" spans="1:14" s="576" customFormat="1">
      <c r="A22" s="474" t="s">
        <v>83</v>
      </c>
      <c r="B22" s="477" t="s">
        <v>1378</v>
      </c>
      <c r="C22" s="6" t="s">
        <v>744</v>
      </c>
      <c r="D22" s="1562"/>
      <c r="E22" s="982">
        <f>+'F21_O&amp;M_EE (A)'!L31</f>
        <v>0</v>
      </c>
      <c r="F22" s="1562"/>
      <c r="G22" s="304"/>
      <c r="H22" s="321"/>
      <c r="I22" s="304"/>
      <c r="J22" s="112"/>
      <c r="N22" s="484"/>
    </row>
    <row r="23" spans="1:14" s="576" customFormat="1">
      <c r="A23" s="474" t="s">
        <v>86</v>
      </c>
      <c r="B23" s="477" t="s">
        <v>1379</v>
      </c>
      <c r="C23" s="6" t="s">
        <v>744</v>
      </c>
      <c r="D23" s="1562"/>
      <c r="E23" s="982">
        <f>+'F23_O&amp;M_A&amp;G'!K46</f>
        <v>3.2299987878666871</v>
      </c>
      <c r="F23" s="1562"/>
      <c r="G23" s="304"/>
      <c r="H23" s="987">
        <f>+'True up-snapshot'!F23</f>
        <v>3.1162040363150689</v>
      </c>
      <c r="I23" s="990">
        <f>(E23-H23)/H23</f>
        <v>3.651710549935018E-2</v>
      </c>
      <c r="J23" s="112"/>
      <c r="L23" s="967"/>
      <c r="M23" s="967"/>
      <c r="N23" s="484"/>
    </row>
    <row r="24" spans="1:14" s="576" customFormat="1">
      <c r="A24" s="474"/>
      <c r="B24" s="606" t="s">
        <v>1423</v>
      </c>
      <c r="C24" s="625" t="s">
        <v>744</v>
      </c>
      <c r="D24" s="1562"/>
      <c r="E24" s="982"/>
      <c r="F24" s="1562"/>
      <c r="G24" s="304"/>
      <c r="H24" s="321"/>
      <c r="I24" s="304"/>
      <c r="J24" s="112"/>
      <c r="N24" s="484"/>
    </row>
    <row r="25" spans="1:14" s="576" customFormat="1">
      <c r="A25" s="474"/>
      <c r="B25" s="606" t="s">
        <v>1424</v>
      </c>
      <c r="C25" s="625" t="s">
        <v>744</v>
      </c>
      <c r="D25" s="1562"/>
      <c r="E25" s="982"/>
      <c r="F25" s="1562"/>
      <c r="G25" s="304"/>
      <c r="H25" s="321"/>
      <c r="I25" s="304"/>
      <c r="J25" s="112"/>
      <c r="N25" s="484"/>
    </row>
    <row r="26" spans="1:14" s="576" customFormat="1">
      <c r="A26" s="474"/>
      <c r="B26" s="606" t="s">
        <v>1425</v>
      </c>
      <c r="C26" s="625" t="s">
        <v>744</v>
      </c>
      <c r="D26" s="1562"/>
      <c r="E26" s="982"/>
      <c r="F26" s="1562"/>
      <c r="G26" s="304"/>
      <c r="H26" s="321"/>
      <c r="I26" s="304"/>
      <c r="J26" s="112"/>
      <c r="N26" s="484"/>
    </row>
    <row r="27" spans="1:14" s="576" customFormat="1">
      <c r="A27" s="474"/>
      <c r="B27" s="624" t="s">
        <v>1380</v>
      </c>
      <c r="C27" s="622" t="s">
        <v>744</v>
      </c>
      <c r="D27" s="1562"/>
      <c r="E27" s="983">
        <f>+E21+E22+E23</f>
        <v>5.0763156532591109</v>
      </c>
      <c r="F27" s="1562"/>
      <c r="G27" s="296"/>
      <c r="H27" s="989">
        <f>+'True up-snapshot'!F27</f>
        <v>3.1162040363150689</v>
      </c>
      <c r="I27" s="990">
        <f t="shared" ref="I27:I32" si="0">(E27-H27)/H27</f>
        <v>0.62900618640552386</v>
      </c>
      <c r="J27" s="112"/>
      <c r="N27" s="484"/>
    </row>
    <row r="28" spans="1:14" s="576" customFormat="1">
      <c r="A28" s="474" t="s">
        <v>20</v>
      </c>
      <c r="B28" s="624" t="s">
        <v>21</v>
      </c>
      <c r="C28" s="622" t="s">
        <v>744</v>
      </c>
      <c r="D28" s="1562"/>
      <c r="E28" s="982">
        <f>+F24_Dep!G74</f>
        <v>1.8974952052630996</v>
      </c>
      <c r="F28" s="1562"/>
      <c r="G28" s="320"/>
      <c r="H28" s="989">
        <f>+'True up-snapshot'!F28</f>
        <v>1.631878364731169</v>
      </c>
      <c r="I28" s="990">
        <f t="shared" si="0"/>
        <v>0.16276754828824974</v>
      </c>
      <c r="J28" s="320"/>
      <c r="K28" s="584"/>
      <c r="L28" s="967"/>
      <c r="M28" s="967"/>
      <c r="N28" s="484"/>
    </row>
    <row r="29" spans="1:14" s="576" customFormat="1">
      <c r="A29" s="474" t="s">
        <v>22</v>
      </c>
      <c r="B29" s="624" t="s">
        <v>1381</v>
      </c>
      <c r="C29" s="622" t="s">
        <v>744</v>
      </c>
      <c r="D29" s="1562"/>
      <c r="E29" s="982">
        <f>+F25_IOL!H15</f>
        <v>2.2993696220358704</v>
      </c>
      <c r="F29" s="1562"/>
      <c r="G29" s="320"/>
      <c r="H29" s="989">
        <f>+'True up-snapshot'!F29</f>
        <v>2.2234343851288245</v>
      </c>
      <c r="I29" s="990">
        <f t="shared" si="0"/>
        <v>3.4152227479672712E-2</v>
      </c>
      <c r="J29" s="320"/>
      <c r="L29" s="967"/>
      <c r="M29" s="967"/>
      <c r="N29" s="469"/>
    </row>
    <row r="30" spans="1:14" s="576" customFormat="1" ht="28.5">
      <c r="A30" s="474" t="s">
        <v>23</v>
      </c>
      <c r="B30" s="472" t="s">
        <v>650</v>
      </c>
      <c r="C30" s="622" t="s">
        <v>744</v>
      </c>
      <c r="D30" s="1562"/>
      <c r="E30" s="982">
        <f>+F25_IOL!H16</f>
        <v>0.28718032915648384</v>
      </c>
      <c r="F30" s="1562"/>
      <c r="G30" s="304"/>
      <c r="H30" s="989">
        <f>+'True up-snapshot'!F30</f>
        <v>0.19441340000000001</v>
      </c>
      <c r="I30" s="990">
        <f t="shared" si="0"/>
        <v>0.47716324675399852</v>
      </c>
      <c r="J30" s="112"/>
      <c r="L30" s="967"/>
      <c r="M30" s="967"/>
      <c r="N30" s="486"/>
    </row>
    <row r="31" spans="1:14" s="576" customFormat="1">
      <c r="A31" s="623" t="s">
        <v>24</v>
      </c>
      <c r="B31" s="606" t="s">
        <v>1426</v>
      </c>
      <c r="C31" s="625" t="s">
        <v>744</v>
      </c>
      <c r="D31" s="1562"/>
      <c r="E31" s="982">
        <f>+F25_IOL!H17</f>
        <v>0</v>
      </c>
      <c r="F31" s="1562"/>
      <c r="G31" s="304"/>
      <c r="H31" s="989">
        <f>+'True up-snapshot'!F31</f>
        <v>2.5059999999999998E-6</v>
      </c>
      <c r="I31" s="990">
        <f t="shared" si="0"/>
        <v>-1</v>
      </c>
      <c r="J31" s="112"/>
      <c r="N31" s="486"/>
    </row>
    <row r="32" spans="1:14" s="576" customFormat="1">
      <c r="A32" s="623" t="s">
        <v>26</v>
      </c>
      <c r="B32" s="477" t="s">
        <v>331</v>
      </c>
      <c r="C32" s="6" t="s">
        <v>744</v>
      </c>
      <c r="D32" s="1562"/>
      <c r="E32" s="982">
        <f>+'F27_Work Cap'!H16</f>
        <v>0.28930816098658457</v>
      </c>
      <c r="F32" s="1562"/>
      <c r="G32" s="320"/>
      <c r="H32" s="989">
        <f>+'True up-snapshot'!F32</f>
        <v>0.24857762455103571</v>
      </c>
      <c r="I32" s="990">
        <f t="shared" si="0"/>
        <v>0.16385439562033643</v>
      </c>
      <c r="J32" s="320"/>
      <c r="L32" s="967"/>
      <c r="M32" s="967"/>
      <c r="N32" s="469"/>
    </row>
    <row r="33" spans="1:14" s="576" customFormat="1">
      <c r="A33" s="623" t="s">
        <v>82</v>
      </c>
      <c r="B33" s="477" t="s">
        <v>1383</v>
      </c>
      <c r="C33" s="6" t="s">
        <v>744</v>
      </c>
      <c r="D33" s="1562"/>
      <c r="E33" s="983"/>
      <c r="F33" s="1562"/>
      <c r="G33" s="320"/>
      <c r="H33" s="989">
        <f>+'True up-snapshot'!F33</f>
        <v>0</v>
      </c>
      <c r="I33" s="304"/>
      <c r="J33" s="112"/>
      <c r="N33" s="469"/>
    </row>
    <row r="34" spans="1:14" s="576" customFormat="1">
      <c r="A34" s="623" t="s">
        <v>89</v>
      </c>
      <c r="B34" s="477" t="s">
        <v>25</v>
      </c>
      <c r="C34" s="6" t="s">
        <v>744</v>
      </c>
      <c r="D34" s="1562"/>
      <c r="E34" s="982"/>
      <c r="F34" s="1562"/>
      <c r="G34" s="320"/>
      <c r="H34" s="989">
        <f>+'True up-snapshot'!F34</f>
        <v>0</v>
      </c>
      <c r="I34" s="320"/>
      <c r="J34" s="320"/>
      <c r="N34" s="486"/>
    </row>
    <row r="35" spans="1:14" s="576" customFormat="1">
      <c r="A35" s="623" t="s">
        <v>487</v>
      </c>
      <c r="B35" s="477" t="s">
        <v>28</v>
      </c>
      <c r="C35" s="6" t="s">
        <v>744</v>
      </c>
      <c r="D35" s="1562"/>
      <c r="E35" s="615">
        <f>+F26_ROE!K13</f>
        <v>1.6616851788531815</v>
      </c>
      <c r="F35" s="1562"/>
      <c r="G35" s="112"/>
      <c r="H35" s="989">
        <f>+'True up-snapshot'!F35</f>
        <v>1.6616851788531815</v>
      </c>
      <c r="I35" s="990">
        <f t="shared" ref="I35:I37" si="1">(E35-H35)/H35</f>
        <v>0</v>
      </c>
      <c r="J35" s="112"/>
      <c r="L35" s="967"/>
      <c r="M35" s="967"/>
    </row>
    <row r="36" spans="1:14" s="576" customFormat="1">
      <c r="A36" s="623" t="s">
        <v>488</v>
      </c>
      <c r="B36" s="477" t="s">
        <v>87</v>
      </c>
      <c r="C36" s="6" t="s">
        <v>744</v>
      </c>
      <c r="D36" s="1562"/>
      <c r="E36" s="615">
        <f>+'F29_Income Tax'!E23</f>
        <v>0</v>
      </c>
      <c r="F36" s="1562"/>
      <c r="G36" s="112"/>
      <c r="H36" s="989">
        <f>+'True up-snapshot'!F36</f>
        <v>0</v>
      </c>
      <c r="I36" s="112"/>
      <c r="J36" s="112"/>
    </row>
    <row r="37" spans="1:14" s="576" customFormat="1">
      <c r="A37" s="580"/>
      <c r="B37" s="477" t="s">
        <v>606</v>
      </c>
      <c r="C37" s="6" t="s">
        <v>744</v>
      </c>
      <c r="D37" s="1562"/>
      <c r="E37" s="556">
        <f>SUM(E17:E36)-E27</f>
        <v>46.549147326677598</v>
      </c>
      <c r="F37" s="1562"/>
      <c r="G37" s="112"/>
      <c r="H37" s="556">
        <f>SUM(H17:H36)-H27</f>
        <v>33.985600166679284</v>
      </c>
      <c r="I37" s="296">
        <f t="shared" si="1"/>
        <v>0.36967265837241481</v>
      </c>
      <c r="J37" s="112"/>
    </row>
    <row r="38" spans="1:14" s="576" customFormat="1">
      <c r="A38" s="474"/>
      <c r="B38" s="585"/>
      <c r="C38" s="323"/>
      <c r="D38" s="1562"/>
      <c r="E38" s="615"/>
      <c r="F38" s="1562"/>
      <c r="G38" s="112"/>
      <c r="H38" s="112"/>
      <c r="I38" s="112"/>
      <c r="J38" s="112"/>
    </row>
    <row r="39" spans="1:14" s="576" customFormat="1">
      <c r="A39" s="474" t="s">
        <v>39</v>
      </c>
      <c r="B39" s="579" t="s">
        <v>323</v>
      </c>
      <c r="C39" s="323"/>
      <c r="D39" s="1562"/>
      <c r="E39" s="615"/>
      <c r="F39" s="1562"/>
      <c r="G39" s="112"/>
      <c r="H39" s="112"/>
      <c r="I39" s="112"/>
      <c r="J39" s="112"/>
    </row>
    <row r="40" spans="1:14" s="576" customFormat="1">
      <c r="A40" s="474" t="s">
        <v>15</v>
      </c>
      <c r="B40" s="477" t="s">
        <v>84</v>
      </c>
      <c r="C40" s="6" t="s">
        <v>744</v>
      </c>
      <c r="D40" s="1562"/>
      <c r="E40" s="615"/>
      <c r="F40" s="1562"/>
      <c r="G40" s="112"/>
      <c r="H40" s="112"/>
      <c r="I40" s="112"/>
      <c r="J40" s="112"/>
    </row>
    <row r="41" spans="1:14" s="576" customFormat="1">
      <c r="A41" s="474" t="s">
        <v>16</v>
      </c>
      <c r="B41" s="477" t="s">
        <v>88</v>
      </c>
      <c r="C41" s="6" t="s">
        <v>744</v>
      </c>
      <c r="D41" s="1562"/>
      <c r="E41" s="615">
        <f>+F28_NTI!G25</f>
        <v>0.2431547899367032</v>
      </c>
      <c r="F41" s="1562"/>
      <c r="G41" s="112"/>
      <c r="H41" s="989">
        <f>+'True up-snapshot'!F41</f>
        <v>0.23975478993670318</v>
      </c>
      <c r="I41" s="990">
        <f t="shared" ref="I41:I49" si="2">(E41-H41)/H41</f>
        <v>1.4181155675336605E-2</v>
      </c>
      <c r="J41" s="112"/>
    </row>
    <row r="42" spans="1:14" s="576" customFormat="1">
      <c r="A42" s="474" t="s">
        <v>39</v>
      </c>
      <c r="B42" s="477" t="s">
        <v>320</v>
      </c>
      <c r="C42" s="6" t="s">
        <v>744</v>
      </c>
      <c r="D42" s="1562"/>
      <c r="E42" s="615"/>
      <c r="F42" s="1562"/>
      <c r="G42" s="112"/>
      <c r="H42" s="112"/>
      <c r="I42" s="112"/>
      <c r="J42" s="112"/>
    </row>
    <row r="43" spans="1:14" s="576" customFormat="1">
      <c r="A43" s="580"/>
      <c r="B43" s="477" t="s">
        <v>605</v>
      </c>
      <c r="C43" s="6" t="s">
        <v>744</v>
      </c>
      <c r="D43" s="1562"/>
      <c r="E43" s="556">
        <f>SUM(E40:E42)</f>
        <v>0.2431547899367032</v>
      </c>
      <c r="F43" s="1562"/>
      <c r="G43" s="112"/>
      <c r="H43" s="556">
        <f>SUM(H40:H42)</f>
        <v>0.23975478993670318</v>
      </c>
      <c r="I43" s="296">
        <f t="shared" si="2"/>
        <v>1.4181155675336605E-2</v>
      </c>
      <c r="J43" s="112"/>
    </row>
    <row r="44" spans="1:14" s="576" customFormat="1" ht="28.5">
      <c r="A44" s="580" t="s">
        <v>40</v>
      </c>
      <c r="B44" s="586" t="s">
        <v>160</v>
      </c>
      <c r="C44" s="6" t="s">
        <v>744</v>
      </c>
      <c r="D44" s="1562"/>
      <c r="E44" s="556">
        <f>+E37-E43</f>
        <v>46.305992536740895</v>
      </c>
      <c r="F44" s="1562"/>
      <c r="G44" s="112"/>
      <c r="H44" s="556">
        <f>+H37-H43</f>
        <v>33.745845376742579</v>
      </c>
      <c r="I44" s="296">
        <f t="shared" si="2"/>
        <v>0.37219832603911263</v>
      </c>
      <c r="J44" s="112"/>
    </row>
    <row r="45" spans="1:14" s="576" customFormat="1">
      <c r="A45" s="587" t="s">
        <v>41</v>
      </c>
      <c r="B45" s="588" t="s">
        <v>161</v>
      </c>
      <c r="C45" s="6" t="s">
        <v>744</v>
      </c>
      <c r="D45" s="1562"/>
      <c r="E45" s="615">
        <f>+E14-E44</f>
        <v>-4.631449975144875</v>
      </c>
      <c r="F45" s="1562"/>
      <c r="G45" s="112"/>
      <c r="H45" s="615">
        <f>+H14-H44</f>
        <v>-3.8439785039568122</v>
      </c>
      <c r="I45" s="990">
        <f t="shared" si="2"/>
        <v>0.20485844818785443</v>
      </c>
      <c r="J45" s="112"/>
    </row>
    <row r="46" spans="1:14" s="576" customFormat="1">
      <c r="A46" s="587" t="s">
        <v>42</v>
      </c>
      <c r="B46" s="477" t="s">
        <v>318</v>
      </c>
      <c r="C46" s="6" t="s">
        <v>744</v>
      </c>
      <c r="D46" s="1562"/>
      <c r="E46" s="615"/>
      <c r="F46" s="1562"/>
      <c r="G46" s="112"/>
      <c r="H46" s="615"/>
      <c r="I46" s="112"/>
      <c r="J46" s="112"/>
    </row>
    <row r="47" spans="1:14" s="576" customFormat="1">
      <c r="A47" s="580" t="s">
        <v>90</v>
      </c>
      <c r="B47" s="586" t="s">
        <v>162</v>
      </c>
      <c r="C47" s="6" t="s">
        <v>744</v>
      </c>
      <c r="D47" s="1562"/>
      <c r="E47" s="556">
        <f>+E45+E46</f>
        <v>-4.631449975144875</v>
      </c>
      <c r="F47" s="1562"/>
      <c r="G47" s="112"/>
      <c r="H47" s="556">
        <f>+H45+H46</f>
        <v>-3.8439785039568122</v>
      </c>
      <c r="I47" s="296">
        <f t="shared" si="2"/>
        <v>0.20485844818785443</v>
      </c>
      <c r="J47" s="112"/>
    </row>
    <row r="48" spans="1:14" s="576" customFormat="1">
      <c r="A48" s="587" t="s">
        <v>91</v>
      </c>
      <c r="B48" s="68" t="s">
        <v>319</v>
      </c>
      <c r="C48" s="6" t="s">
        <v>744</v>
      </c>
      <c r="D48" s="1562"/>
      <c r="E48" s="615"/>
      <c r="F48" s="1562"/>
      <c r="G48" s="112"/>
      <c r="H48" s="615"/>
      <c r="I48" s="112"/>
      <c r="J48" s="112"/>
    </row>
    <row r="49" spans="1:11" s="576" customFormat="1">
      <c r="A49" s="580" t="s">
        <v>92</v>
      </c>
      <c r="B49" s="589" t="s">
        <v>604</v>
      </c>
      <c r="C49" s="6" t="s">
        <v>744</v>
      </c>
      <c r="D49" s="1563"/>
      <c r="E49" s="556">
        <f>+E47-E48</f>
        <v>-4.631449975144875</v>
      </c>
      <c r="F49" s="1563"/>
      <c r="G49" s="112"/>
      <c r="H49" s="556">
        <f>+H47-H48</f>
        <v>-3.8439785039568122</v>
      </c>
      <c r="I49" s="296">
        <f t="shared" si="2"/>
        <v>0.20485844818785443</v>
      </c>
      <c r="J49" s="112"/>
    </row>
    <row r="50" spans="1:11" s="576" customFormat="1">
      <c r="A50" s="272" t="s">
        <v>748</v>
      </c>
      <c r="B50" s="590"/>
      <c r="C50" s="590"/>
      <c r="D50" s="590"/>
      <c r="E50" s="590"/>
      <c r="F50" s="590"/>
      <c r="G50" s="590"/>
      <c r="H50" s="590"/>
      <c r="I50" s="590"/>
      <c r="J50" s="112"/>
    </row>
    <row r="51" spans="1:11" s="576" customFormat="1">
      <c r="A51" s="590" t="s">
        <v>750</v>
      </c>
      <c r="B51" s="590"/>
      <c r="C51" s="590"/>
      <c r="D51" s="590"/>
      <c r="E51" s="590"/>
      <c r="F51" s="590"/>
      <c r="G51" s="590"/>
      <c r="H51" s="590"/>
      <c r="I51" s="590"/>
      <c r="J51" s="112"/>
    </row>
    <row r="52" spans="1:11" s="576" customFormat="1">
      <c r="A52" s="367" t="s">
        <v>749</v>
      </c>
      <c r="B52" s="367"/>
      <c r="C52" s="367"/>
      <c r="D52" s="367"/>
      <c r="E52" s="367"/>
      <c r="F52" s="367"/>
      <c r="G52" s="367"/>
      <c r="H52" s="367"/>
      <c r="I52" s="367"/>
      <c r="J52" s="112"/>
    </row>
    <row r="53" spans="1:11" s="576" customFormat="1">
      <c r="A53" s="272" t="s">
        <v>1412</v>
      </c>
      <c r="B53" s="272"/>
      <c r="C53" s="272"/>
      <c r="D53" s="272"/>
      <c r="E53" s="272"/>
      <c r="F53" s="272"/>
      <c r="G53" s="272"/>
      <c r="H53" s="272"/>
      <c r="I53" s="272"/>
      <c r="J53" s="112"/>
    </row>
    <row r="54" spans="1:11" s="576" customFormat="1">
      <c r="C54" s="312"/>
    </row>
    <row r="55" spans="1:11" s="576" customFormat="1">
      <c r="K55" s="213"/>
    </row>
    <row r="56" spans="1:11" s="576" customFormat="1">
      <c r="C56" s="312"/>
    </row>
    <row r="57" spans="1:11" s="576" customFormat="1">
      <c r="B57" s="591" t="s">
        <v>777</v>
      </c>
    </row>
    <row r="58" spans="1:11" s="576" customFormat="1" ht="57">
      <c r="B58" s="1558" t="s">
        <v>10</v>
      </c>
      <c r="C58" s="1558" t="s">
        <v>34</v>
      </c>
      <c r="D58" s="182" t="s">
        <v>717</v>
      </c>
      <c r="E58" s="182" t="s">
        <v>732</v>
      </c>
      <c r="F58" s="182" t="s">
        <v>733</v>
      </c>
      <c r="G58" s="1558" t="s">
        <v>80</v>
      </c>
      <c r="H58" s="292" t="s">
        <v>775</v>
      </c>
      <c r="I58" s="182" t="s">
        <v>735</v>
      </c>
      <c r="J58" s="1558" t="s">
        <v>80</v>
      </c>
    </row>
    <row r="59" spans="1:11" s="576" customFormat="1">
      <c r="B59" s="1559"/>
      <c r="C59" s="1559"/>
      <c r="D59" s="292" t="s">
        <v>722</v>
      </c>
      <c r="E59" s="292" t="s">
        <v>723</v>
      </c>
      <c r="F59" s="1558" t="s">
        <v>736</v>
      </c>
      <c r="G59" s="1559"/>
      <c r="H59" s="390" t="s">
        <v>737</v>
      </c>
      <c r="I59" s="1558" t="s">
        <v>738</v>
      </c>
      <c r="J59" s="1559"/>
    </row>
    <row r="60" spans="1:11" s="576" customFormat="1">
      <c r="B60" s="1560"/>
      <c r="C60" s="1560"/>
      <c r="D60" s="1598" t="s">
        <v>344</v>
      </c>
      <c r="E60" s="1599"/>
      <c r="F60" s="1560"/>
      <c r="G60" s="1560"/>
      <c r="H60" s="390" t="s">
        <v>350</v>
      </c>
      <c r="I60" s="1560"/>
      <c r="J60" s="1560"/>
    </row>
    <row r="61" spans="1:11" s="576" customFormat="1">
      <c r="B61" s="293" t="s">
        <v>751</v>
      </c>
      <c r="C61" s="290" t="s">
        <v>744</v>
      </c>
      <c r="D61" s="1564" t="s">
        <v>2062</v>
      </c>
      <c r="E61" s="309">
        <f>+'True up-snapshot'!E64</f>
        <v>36.926337307848478</v>
      </c>
      <c r="F61" s="1564" t="s">
        <v>2062</v>
      </c>
      <c r="G61" s="297"/>
      <c r="H61" s="986">
        <f>+'True up-snapshot'!E61</f>
        <v>0</v>
      </c>
      <c r="I61" s="296">
        <f>IFERROR((E61-H61)/E61,0)</f>
        <v>1</v>
      </c>
      <c r="J61" s="112"/>
    </row>
    <row r="62" spans="1:11" s="576" customFormat="1">
      <c r="B62" s="64" t="s">
        <v>752</v>
      </c>
      <c r="C62" s="6" t="s">
        <v>744</v>
      </c>
      <c r="D62" s="1565"/>
      <c r="E62" s="309">
        <f>+F24_Dep!C74</f>
        <v>0</v>
      </c>
      <c r="F62" s="1565"/>
      <c r="G62" s="310"/>
      <c r="H62" s="986">
        <f>+'True up-snapshot'!E62</f>
        <v>36.926337307848478</v>
      </c>
      <c r="I62" s="296">
        <f t="shared" ref="I62:I64" si="3">IFERROR((E62-H62)/E62,0)</f>
        <v>0</v>
      </c>
      <c r="J62" s="112"/>
    </row>
    <row r="63" spans="1:11" s="576" customFormat="1">
      <c r="B63" s="64" t="s">
        <v>753</v>
      </c>
      <c r="C63" s="6" t="s">
        <v>744</v>
      </c>
      <c r="D63" s="1565"/>
      <c r="E63" s="309">
        <f>+F24_Dep!D74</f>
        <v>0</v>
      </c>
      <c r="F63" s="1565"/>
      <c r="G63" s="310"/>
      <c r="H63" s="986">
        <f>+'True up-snapshot'!E63</f>
        <v>0</v>
      </c>
      <c r="I63" s="296">
        <f t="shared" si="3"/>
        <v>0</v>
      </c>
      <c r="J63" s="112"/>
    </row>
    <row r="64" spans="1:11" s="576" customFormat="1">
      <c r="B64" s="64" t="s">
        <v>754</v>
      </c>
      <c r="C64" s="6" t="s">
        <v>744</v>
      </c>
      <c r="D64" s="1566"/>
      <c r="E64" s="309">
        <f>+E61+E62-E63</f>
        <v>36.926337307848478</v>
      </c>
      <c r="F64" s="1566"/>
      <c r="G64" s="310"/>
      <c r="H64" s="986">
        <f>+'True up-snapshot'!E64</f>
        <v>36.926337307848478</v>
      </c>
      <c r="I64" s="296">
        <f t="shared" si="3"/>
        <v>0</v>
      </c>
      <c r="J64" s="112"/>
    </row>
    <row r="65" spans="2:11" s="576" customFormat="1">
      <c r="B65" s="1602" t="s">
        <v>748</v>
      </c>
      <c r="C65" s="1602"/>
      <c r="D65" s="1602"/>
      <c r="E65" s="1602"/>
      <c r="F65" s="1602"/>
      <c r="G65" s="1602"/>
      <c r="H65" s="1602"/>
      <c r="I65" s="1602"/>
      <c r="J65" s="1602"/>
    </row>
    <row r="66" spans="2:11" s="576" customFormat="1">
      <c r="B66" s="592"/>
      <c r="C66" s="592"/>
      <c r="D66" s="592"/>
      <c r="E66" s="592"/>
      <c r="F66" s="592"/>
      <c r="G66" s="592"/>
      <c r="H66" s="592"/>
      <c r="I66" s="592"/>
      <c r="J66" s="592"/>
      <c r="K66" s="592"/>
    </row>
    <row r="67" spans="2:11" s="576" customFormat="1">
      <c r="B67" s="591" t="s">
        <v>778</v>
      </c>
    </row>
    <row r="68" spans="2:11" s="576" customFormat="1">
      <c r="B68" s="1530" t="s">
        <v>10</v>
      </c>
      <c r="C68" s="1531" t="s">
        <v>775</v>
      </c>
      <c r="D68" s="1531"/>
      <c r="E68" s="1600" t="s">
        <v>717</v>
      </c>
      <c r="F68" s="1601"/>
      <c r="G68" s="1530" t="s">
        <v>732</v>
      </c>
      <c r="H68" s="1530"/>
    </row>
    <row r="69" spans="2:11" s="576" customFormat="1">
      <c r="B69" s="1530"/>
      <c r="C69" s="392" t="s">
        <v>548</v>
      </c>
      <c r="D69" s="392" t="s">
        <v>35</v>
      </c>
      <c r="E69" s="391" t="s">
        <v>548</v>
      </c>
      <c r="F69" s="391" t="s">
        <v>35</v>
      </c>
      <c r="G69" s="391" t="s">
        <v>548</v>
      </c>
      <c r="H69" s="391" t="s">
        <v>35</v>
      </c>
    </row>
    <row r="70" spans="2:11" s="576" customFormat="1">
      <c r="B70" s="217" t="s">
        <v>755</v>
      </c>
      <c r="C70" s="298">
        <f>SUM(C71:C76)</f>
        <v>3.1162040363150689</v>
      </c>
      <c r="D70" s="300">
        <v>1</v>
      </c>
      <c r="E70" s="1603" t="s">
        <v>2062</v>
      </c>
      <c r="F70" s="1604"/>
      <c r="G70" s="298">
        <f>SUM(G71:G76)</f>
        <v>5.0763156532591109</v>
      </c>
      <c r="H70" s="301">
        <v>1</v>
      </c>
    </row>
    <row r="71" spans="2:11" s="576" customFormat="1">
      <c r="B71" s="313" t="s">
        <v>756</v>
      </c>
      <c r="C71" s="311">
        <f>+'True up-snapshot'!G71</f>
        <v>0</v>
      </c>
      <c r="D71" s="314">
        <f>+C71/$C$70</f>
        <v>0</v>
      </c>
      <c r="E71" s="1605"/>
      <c r="F71" s="1606"/>
      <c r="G71" s="315">
        <f>+E22</f>
        <v>0</v>
      </c>
      <c r="H71" s="314">
        <f>+G71/$G$70</f>
        <v>0</v>
      </c>
    </row>
    <row r="72" spans="2:11" s="576" customFormat="1">
      <c r="B72" s="313" t="s">
        <v>757</v>
      </c>
      <c r="C72" s="311">
        <f>+'True up-snapshot'!G72</f>
        <v>3.1162040363150689</v>
      </c>
      <c r="D72" s="314">
        <f t="shared" ref="D72:D73" si="4">+C72/$C$70</f>
        <v>1</v>
      </c>
      <c r="E72" s="1605"/>
      <c r="F72" s="1606"/>
      <c r="G72" s="315">
        <f>+E23</f>
        <v>3.2299987878666871</v>
      </c>
      <c r="H72" s="314">
        <f t="shared" ref="H72:H73" si="5">+G72/$G$70</f>
        <v>0.63628801053633333</v>
      </c>
    </row>
    <row r="73" spans="2:11" s="576" customFormat="1">
      <c r="B73" s="313" t="s">
        <v>758</v>
      </c>
      <c r="C73" s="311">
        <f>+'True up-snapshot'!G73</f>
        <v>0</v>
      </c>
      <c r="D73" s="314">
        <f t="shared" si="4"/>
        <v>0</v>
      </c>
      <c r="E73" s="1605"/>
      <c r="F73" s="1606"/>
      <c r="G73" s="315">
        <f>+E21</f>
        <v>1.846316865392424</v>
      </c>
      <c r="H73" s="314">
        <f t="shared" si="5"/>
        <v>0.36371198946366667</v>
      </c>
    </row>
    <row r="74" spans="2:11" s="576" customFormat="1">
      <c r="B74" s="606" t="s">
        <v>1423</v>
      </c>
      <c r="C74" s="635"/>
      <c r="D74" s="636"/>
      <c r="E74" s="1605"/>
      <c r="F74" s="1606"/>
      <c r="G74" s="315"/>
      <c r="H74" s="637"/>
    </row>
    <row r="75" spans="2:11" s="576" customFormat="1">
      <c r="B75" s="606" t="s">
        <v>1424</v>
      </c>
      <c r="C75" s="635"/>
      <c r="D75" s="636"/>
      <c r="E75" s="1605"/>
      <c r="F75" s="1606"/>
      <c r="G75" s="315"/>
      <c r="H75" s="637"/>
    </row>
    <row r="76" spans="2:11" s="576" customFormat="1">
      <c r="B76" s="606" t="s">
        <v>1425</v>
      </c>
      <c r="C76" s="635"/>
      <c r="D76" s="636"/>
      <c r="E76" s="1607"/>
      <c r="F76" s="1608"/>
      <c r="G76" s="315"/>
      <c r="H76" s="637"/>
    </row>
    <row r="77" spans="2:11" s="576" customFormat="1">
      <c r="B77" s="1590" t="s">
        <v>748</v>
      </c>
      <c r="C77" s="1590"/>
      <c r="D77" s="1590"/>
      <c r="E77" s="1590"/>
      <c r="F77" s="1590"/>
      <c r="G77" s="1590"/>
      <c r="H77" s="1590"/>
    </row>
    <row r="78" spans="2:11" s="576" customFormat="1">
      <c r="C78" s="312"/>
    </row>
    <row r="79" spans="2:11" s="576" customFormat="1">
      <c r="B79" s="153" t="s">
        <v>779</v>
      </c>
    </row>
    <row r="80" spans="2:11" s="576" customFormat="1" ht="57">
      <c r="B80" s="280" t="s">
        <v>10</v>
      </c>
      <c r="C80" s="280" t="s">
        <v>354</v>
      </c>
      <c r="D80" s="182" t="s">
        <v>717</v>
      </c>
      <c r="E80" s="182" t="s">
        <v>732</v>
      </c>
      <c r="F80" s="280" t="s">
        <v>781</v>
      </c>
      <c r="H80" s="1524" t="s">
        <v>782</v>
      </c>
      <c r="I80" s="1524"/>
      <c r="J80" s="1524"/>
    </row>
    <row r="81" spans="2:10" s="576" customFormat="1">
      <c r="B81" s="317" t="s">
        <v>759</v>
      </c>
      <c r="C81" s="24" t="s">
        <v>722</v>
      </c>
      <c r="D81" s="1532" t="s">
        <v>2062</v>
      </c>
      <c r="E81" s="281">
        <f>+E9</f>
        <v>61.157459186384557</v>
      </c>
      <c r="F81" s="1532" t="s">
        <v>2062</v>
      </c>
      <c r="H81" s="1525" t="s">
        <v>783</v>
      </c>
      <c r="I81" s="1527" t="s">
        <v>344</v>
      </c>
      <c r="J81" s="1529"/>
    </row>
    <row r="82" spans="2:10" s="576" customFormat="1" ht="28.5">
      <c r="B82" s="317" t="s">
        <v>760</v>
      </c>
      <c r="C82" s="24" t="s">
        <v>723</v>
      </c>
      <c r="D82" s="1533"/>
      <c r="E82" s="283">
        <f>+E10</f>
        <v>9.8827273120369683E-3</v>
      </c>
      <c r="F82" s="1533"/>
      <c r="H82" s="1526"/>
      <c r="I82" s="182" t="s">
        <v>684</v>
      </c>
      <c r="J82" s="182" t="s">
        <v>732</v>
      </c>
    </row>
    <row r="83" spans="2:10" s="576" customFormat="1" ht="28.5">
      <c r="B83" s="317" t="s">
        <v>761</v>
      </c>
      <c r="C83" s="310" t="s">
        <v>762</v>
      </c>
      <c r="D83" s="1533"/>
      <c r="E83" s="309">
        <f>E81/(1-E82)</f>
        <v>61.767894443811429</v>
      </c>
      <c r="F83" s="1533"/>
      <c r="H83" s="324" t="s">
        <v>787</v>
      </c>
      <c r="I83" s="1591" t="s">
        <v>2062</v>
      </c>
      <c r="J83" s="673">
        <f>+'True up-snapshot'!N89</f>
        <v>16.32597650515153</v>
      </c>
    </row>
    <row r="84" spans="2:10" s="576" customFormat="1">
      <c r="B84" s="317" t="s">
        <v>763</v>
      </c>
      <c r="C84" s="24" t="s">
        <v>40</v>
      </c>
      <c r="D84" s="1533"/>
      <c r="E84" s="984">
        <f>+F1_PP_Annual!J473</f>
        <v>63.796627188402638</v>
      </c>
      <c r="F84" s="1533"/>
      <c r="H84" s="324" t="s">
        <v>729</v>
      </c>
      <c r="I84" s="1592"/>
      <c r="J84" s="196">
        <v>0</v>
      </c>
    </row>
    <row r="85" spans="2:10" s="576" customFormat="1">
      <c r="B85" s="285" t="s">
        <v>764</v>
      </c>
      <c r="C85" s="24" t="s">
        <v>41</v>
      </c>
      <c r="D85" s="1533"/>
      <c r="E85" s="284"/>
      <c r="F85" s="1533"/>
      <c r="H85" s="324" t="s">
        <v>1177</v>
      </c>
      <c r="I85" s="1592"/>
      <c r="J85" s="196">
        <v>0</v>
      </c>
    </row>
    <row r="86" spans="2:10" s="576" customFormat="1">
      <c r="B86" s="285" t="s">
        <v>765</v>
      </c>
      <c r="C86" s="24" t="s">
        <v>42</v>
      </c>
      <c r="D86" s="1533"/>
      <c r="E86" s="283">
        <f>+'F3_PP_Monthly 24-25'!L95</f>
        <v>3.1800000000000057E-2</v>
      </c>
      <c r="F86" s="1533"/>
      <c r="H86" s="324" t="s">
        <v>788</v>
      </c>
      <c r="I86" s="1592"/>
      <c r="J86" s="196">
        <v>0</v>
      </c>
    </row>
    <row r="87" spans="2:10" s="576" customFormat="1">
      <c r="B87" s="285" t="s">
        <v>766</v>
      </c>
      <c r="C87" s="286" t="s">
        <v>767</v>
      </c>
      <c r="D87" s="1533"/>
      <c r="E87" s="281">
        <f>E84*(1-E86)</f>
        <v>61.767894443811429</v>
      </c>
      <c r="F87" s="1533"/>
      <c r="H87" s="324" t="s">
        <v>789</v>
      </c>
      <c r="I87" s="1592"/>
      <c r="J87" s="196">
        <v>0</v>
      </c>
    </row>
    <row r="88" spans="2:10" s="576" customFormat="1">
      <c r="B88" s="285" t="s">
        <v>768</v>
      </c>
      <c r="C88" s="24" t="s">
        <v>91</v>
      </c>
      <c r="D88" s="1533"/>
      <c r="E88" s="281"/>
      <c r="F88" s="1533"/>
      <c r="H88" s="324" t="s">
        <v>730</v>
      </c>
      <c r="I88" s="1592"/>
      <c r="J88" s="196">
        <v>0</v>
      </c>
    </row>
    <row r="89" spans="2:10" s="576" customFormat="1">
      <c r="B89" s="288" t="s">
        <v>769</v>
      </c>
      <c r="C89" s="33" t="s">
        <v>770</v>
      </c>
      <c r="D89" s="1533"/>
      <c r="E89" s="283"/>
      <c r="F89" s="1533"/>
      <c r="H89" s="324" t="s">
        <v>790</v>
      </c>
      <c r="I89" s="1592"/>
      <c r="J89" s="673">
        <f>+J83+J84+J85+J86+J87-J88</f>
        <v>16.32597650515153</v>
      </c>
    </row>
    <row r="90" spans="2:10" s="576" customFormat="1">
      <c r="B90" s="313" t="s">
        <v>771</v>
      </c>
      <c r="C90" s="24" t="s">
        <v>772</v>
      </c>
      <c r="D90" s="1533"/>
      <c r="E90" s="593">
        <f>+E13/E81*10</f>
        <v>6.8143024769207541</v>
      </c>
      <c r="F90" s="1533"/>
      <c r="H90" s="324" t="s">
        <v>791</v>
      </c>
      <c r="I90" s="1592"/>
      <c r="J90" s="673">
        <f>+'True up-snapshot'!N93</f>
        <v>72.845440307848477</v>
      </c>
    </row>
    <row r="91" spans="2:10" s="576" customFormat="1">
      <c r="B91" s="313" t="s">
        <v>773</v>
      </c>
      <c r="C91" s="6" t="s">
        <v>772</v>
      </c>
      <c r="D91" s="1533"/>
      <c r="E91" s="593">
        <f>+E90</f>
        <v>6.8143024769207541</v>
      </c>
      <c r="F91" s="1533"/>
      <c r="H91" s="324" t="s">
        <v>219</v>
      </c>
      <c r="I91" s="1592"/>
      <c r="J91" s="196">
        <f>+F24_Dep!C74</f>
        <v>0</v>
      </c>
    </row>
    <row r="92" spans="2:10" s="576" customFormat="1">
      <c r="B92" s="112" t="s">
        <v>774</v>
      </c>
      <c r="C92" s="6" t="s">
        <v>772</v>
      </c>
      <c r="D92" s="1534"/>
      <c r="E92" s="593">
        <f>+E44/E81*10</f>
        <v>7.5716017559882491</v>
      </c>
      <c r="F92" s="1534"/>
      <c r="H92" s="324" t="s">
        <v>324</v>
      </c>
      <c r="I92" s="1592"/>
      <c r="J92" s="196">
        <f>+F24_Dep!D74</f>
        <v>0</v>
      </c>
    </row>
    <row r="93" spans="2:10" s="576" customFormat="1">
      <c r="B93" s="1590" t="s">
        <v>748</v>
      </c>
      <c r="C93" s="1590"/>
      <c r="D93" s="1590"/>
      <c r="E93" s="1590"/>
      <c r="F93" s="1590"/>
      <c r="H93" s="324" t="s">
        <v>792</v>
      </c>
      <c r="I93" s="1592"/>
      <c r="J93" s="673">
        <f>+J90+J91-J92</f>
        <v>72.845440307848477</v>
      </c>
    </row>
    <row r="94" spans="2:10" s="576" customFormat="1">
      <c r="C94" s="312"/>
      <c r="H94" s="324" t="s">
        <v>793</v>
      </c>
      <c r="I94" s="1592"/>
      <c r="J94" s="675">
        <f>+F24_Dep!G70</f>
        <v>3.7940238436630995</v>
      </c>
    </row>
    <row r="95" spans="2:10" s="576" customFormat="1">
      <c r="C95" s="312"/>
      <c r="H95" s="324" t="s">
        <v>794</v>
      </c>
      <c r="I95" s="1593"/>
      <c r="J95" s="675">
        <f>+F24_Dep!G74</f>
        <v>1.8974952052630996</v>
      </c>
    </row>
    <row r="96" spans="2:10" s="576" customFormat="1">
      <c r="C96" s="312"/>
      <c r="H96" s="1589" t="s">
        <v>748</v>
      </c>
      <c r="I96" s="1589"/>
      <c r="J96" s="1589"/>
    </row>
  </sheetData>
  <mergeCells count="38">
    <mergeCell ref="D8:D49"/>
    <mergeCell ref="F8:F49"/>
    <mergeCell ref="D61:D64"/>
    <mergeCell ref="F61:F64"/>
    <mergeCell ref="E70:F76"/>
    <mergeCell ref="B68:B69"/>
    <mergeCell ref="C68:D68"/>
    <mergeCell ref="E68:F68"/>
    <mergeCell ref="G68:H68"/>
    <mergeCell ref="B65:J65"/>
    <mergeCell ref="G58:G60"/>
    <mergeCell ref="J58:J60"/>
    <mergeCell ref="F59:F60"/>
    <mergeCell ref="I59:I60"/>
    <mergeCell ref="D60:E60"/>
    <mergeCell ref="A4:A7"/>
    <mergeCell ref="A1:B1"/>
    <mergeCell ref="B4:B7"/>
    <mergeCell ref="C4:C7"/>
    <mergeCell ref="B58:B60"/>
    <mergeCell ref="C58:C60"/>
    <mergeCell ref="G4:G7"/>
    <mergeCell ref="J4:J7"/>
    <mergeCell ref="D5:D6"/>
    <mergeCell ref="E5:E6"/>
    <mergeCell ref="F5:F7"/>
    <mergeCell ref="H5:H6"/>
    <mergeCell ref="I5:I7"/>
    <mergeCell ref="D7:E7"/>
    <mergeCell ref="H96:J96"/>
    <mergeCell ref="B93:F93"/>
    <mergeCell ref="B77:H77"/>
    <mergeCell ref="H80:J80"/>
    <mergeCell ref="H81:H82"/>
    <mergeCell ref="I81:J81"/>
    <mergeCell ref="D81:D92"/>
    <mergeCell ref="F81:F92"/>
    <mergeCell ref="I83:I95"/>
  </mergeCells>
  <printOptions horizontalCentered="1"/>
  <pageMargins left="0.70866141732283472" right="0.70866141732283472" top="0.74803149606299213" bottom="0.74803149606299213" header="0.31496062992125984" footer="0.31496062992125984"/>
  <pageSetup paperSize="5" scale="76" fitToHeight="3" orientation="landscape" r:id="rId1"/>
  <rowBreaks count="1" manualBreakCount="1">
    <brk id="78"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FF"/>
    <pageSetUpPr fitToPage="1"/>
  </sheetPr>
  <dimension ref="A1:L56"/>
  <sheetViews>
    <sheetView view="pageBreakPreview" zoomScaleNormal="74" zoomScaleSheetLayoutView="100" workbookViewId="0">
      <pane xSplit="2" ySplit="7" topLeftCell="C50" activePane="bottomRight" state="frozen"/>
      <selection activeCell="T96" sqref="T96"/>
      <selection pane="topRight" activeCell="T96" sqref="T96"/>
      <selection pane="bottomLeft" activeCell="T96" sqref="T96"/>
      <selection pane="bottomRight" activeCell="I29" sqref="I29:I32"/>
    </sheetView>
  </sheetViews>
  <sheetFormatPr defaultColWidth="9.19921875" defaultRowHeight="17.25" customHeight="1"/>
  <cols>
    <col min="1" max="1" width="5" customWidth="1"/>
    <col min="2" max="2" width="47.19921875" customWidth="1"/>
    <col min="3" max="3" width="10.796875" bestFit="1" customWidth="1"/>
    <col min="4" max="4" width="10.53125" bestFit="1" customWidth="1"/>
    <col min="5" max="7" width="10.796875" bestFit="1" customWidth="1"/>
    <col min="8" max="9" width="10.46484375" bestFit="1" customWidth="1"/>
  </cols>
  <sheetData>
    <row r="1" spans="1:12" ht="17.25" customHeight="1">
      <c r="A1" s="1507" t="s">
        <v>1788</v>
      </c>
      <c r="B1" s="1507"/>
    </row>
    <row r="2" spans="1:12" ht="17.25" customHeight="1">
      <c r="A2" s="241" t="str">
        <f>+'BS1'!A2</f>
        <v>NIDP DEVELOPERS PRIVATE LIMITED</v>
      </c>
      <c r="B2" s="39"/>
      <c r="C2" s="39"/>
      <c r="D2" s="39"/>
      <c r="E2" s="39"/>
      <c r="J2" s="39"/>
      <c r="K2" s="39"/>
      <c r="L2" s="39"/>
    </row>
    <row r="3" spans="1:12" ht="17.25" customHeight="1">
      <c r="A3" s="173" t="s">
        <v>9</v>
      </c>
      <c r="B3" s="173"/>
      <c r="C3" s="173"/>
      <c r="D3" s="173"/>
      <c r="E3" s="173"/>
      <c r="F3" s="173"/>
      <c r="G3" s="173"/>
      <c r="H3" s="173"/>
      <c r="I3" s="173"/>
    </row>
    <row r="4" spans="1:12" ht="17.25" customHeight="1">
      <c r="F4" s="1619"/>
      <c r="G4" s="1619"/>
      <c r="H4" s="1618" t="s">
        <v>93</v>
      </c>
      <c r="I4" s="1618"/>
    </row>
    <row r="5" spans="1:12" ht="17.25" customHeight="1">
      <c r="A5" s="1620" t="s">
        <v>8</v>
      </c>
      <c r="B5" s="1620" t="s">
        <v>10</v>
      </c>
      <c r="C5" s="1488" t="s">
        <v>349</v>
      </c>
      <c r="D5" s="1488"/>
      <c r="E5" s="1573" t="s">
        <v>336</v>
      </c>
      <c r="F5" s="1573"/>
      <c r="G5" s="1573"/>
      <c r="H5" s="147" t="s">
        <v>344</v>
      </c>
      <c r="I5" s="644" t="s">
        <v>739</v>
      </c>
    </row>
    <row r="6" spans="1:12" ht="27.75" customHeight="1">
      <c r="A6" s="1621"/>
      <c r="B6" s="1621"/>
      <c r="C6" s="146" t="s">
        <v>341</v>
      </c>
      <c r="D6" s="146" t="s">
        <v>342</v>
      </c>
      <c r="E6" s="1570" t="s">
        <v>2023</v>
      </c>
      <c r="F6" s="1586"/>
      <c r="G6" s="1571"/>
      <c r="H6" s="146" t="s">
        <v>1442</v>
      </c>
      <c r="I6" s="146" t="s">
        <v>2024</v>
      </c>
    </row>
    <row r="7" spans="1:12" ht="30" customHeight="1">
      <c r="A7" s="1622"/>
      <c r="B7" s="1622"/>
      <c r="C7" s="146" t="s">
        <v>347</v>
      </c>
      <c r="D7" s="146" t="s">
        <v>347</v>
      </c>
      <c r="E7" s="151" t="s">
        <v>1418</v>
      </c>
      <c r="F7" s="152" t="s">
        <v>182</v>
      </c>
      <c r="G7" s="152" t="s">
        <v>338</v>
      </c>
      <c r="H7" s="151" t="s">
        <v>1415</v>
      </c>
      <c r="I7" s="152" t="s">
        <v>183</v>
      </c>
    </row>
    <row r="8" spans="1:12" ht="28.5">
      <c r="A8" s="538" t="s">
        <v>11</v>
      </c>
      <c r="B8" s="539" t="s">
        <v>1377</v>
      </c>
      <c r="C8" s="1609" t="s">
        <v>2062</v>
      </c>
      <c r="D8" s="1610"/>
      <c r="E8" s="1611"/>
      <c r="F8" s="601">
        <f>+'[3]True-up'!$H$38</f>
        <v>38.255656240000036</v>
      </c>
      <c r="G8" s="601">
        <f>+F8</f>
        <v>38.255656240000036</v>
      </c>
      <c r="H8" s="921">
        <f>+[3]APR!$I$19</f>
        <v>61.767894443811429</v>
      </c>
      <c r="I8" s="921">
        <f>+'[3]ARR 26-27'!$F$14</f>
        <v>101.99925199348334</v>
      </c>
    </row>
    <row r="9" spans="1:12" ht="17.25" customHeight="1">
      <c r="A9" s="538" t="s">
        <v>12</v>
      </c>
      <c r="B9" s="540" t="s">
        <v>158</v>
      </c>
      <c r="C9" s="1612"/>
      <c r="D9" s="1613"/>
      <c r="E9" s="1614"/>
      <c r="F9" s="601">
        <f>+'[3]True-up'!$H$35</f>
        <v>37.540040376137725</v>
      </c>
      <c r="G9" s="601">
        <f>+F9</f>
        <v>37.540040376137725</v>
      </c>
      <c r="H9" s="921">
        <f>+[3]APR!$I$16</f>
        <v>61.157459186384557</v>
      </c>
      <c r="I9" s="921">
        <f>+'[3]ARR 26-27'!$F$11</f>
        <v>100.99122120000001</v>
      </c>
    </row>
    <row r="10" spans="1:12" s="2" customFormat="1" ht="17.25" customHeight="1">
      <c r="A10" s="543" t="s">
        <v>13</v>
      </c>
      <c r="B10" s="540" t="s">
        <v>159</v>
      </c>
      <c r="C10" s="1612"/>
      <c r="D10" s="1613"/>
      <c r="E10" s="1614"/>
      <c r="F10" s="603">
        <f>(F8-F9)/F8</f>
        <v>1.8706145291897115E-2</v>
      </c>
      <c r="G10" s="603">
        <f>(G8-G9)/G8</f>
        <v>1.8706145291897115E-2</v>
      </c>
      <c r="H10" s="603">
        <f>(H8-H9)/H8</f>
        <v>9.8827273120369683E-3</v>
      </c>
      <c r="I10" s="603">
        <f>(I8-I9)/I8</f>
        <v>9.882727312036866E-3</v>
      </c>
    </row>
    <row r="11" spans="1:12" ht="17.25" customHeight="1">
      <c r="A11" s="538"/>
      <c r="B11" s="541"/>
      <c r="C11" s="1612"/>
      <c r="D11" s="1613"/>
      <c r="E11" s="1614"/>
      <c r="F11" s="495"/>
      <c r="G11" s="495"/>
      <c r="H11" s="495"/>
      <c r="I11" s="495"/>
    </row>
    <row r="12" spans="1:12" ht="17.25" customHeight="1">
      <c r="A12" s="538" t="s">
        <v>85</v>
      </c>
      <c r="B12" s="542" t="s">
        <v>14</v>
      </c>
      <c r="C12" s="1612"/>
      <c r="D12" s="1613"/>
      <c r="E12" s="1614"/>
      <c r="F12" s="495"/>
      <c r="G12" s="495"/>
      <c r="H12" s="495"/>
      <c r="I12" s="495"/>
    </row>
    <row r="13" spans="1:12" ht="32.25" customHeight="1">
      <c r="A13" s="543" t="s">
        <v>15</v>
      </c>
      <c r="B13" s="544" t="s">
        <v>165</v>
      </c>
      <c r="C13" s="1612"/>
      <c r="D13" s="1613"/>
      <c r="E13" s="1614"/>
      <c r="F13" s="545">
        <f>+'True up-snapshot'!E13</f>
        <v>29.901866872785767</v>
      </c>
      <c r="G13" s="545">
        <f>+'True up-snapshot'!F13</f>
        <v>29.901866872785767</v>
      </c>
      <c r="H13" s="545">
        <f>+'APR Snapshot'!E13</f>
        <v>41.67454256159602</v>
      </c>
      <c r="I13" s="545">
        <f>+'ARR snapshot'!E13</f>
        <v>68.189938328665832</v>
      </c>
    </row>
    <row r="14" spans="1:12" ht="17.25" customHeight="1">
      <c r="A14" s="546"/>
      <c r="B14" s="547" t="s">
        <v>607</v>
      </c>
      <c r="C14" s="1612"/>
      <c r="D14" s="1613"/>
      <c r="E14" s="1614"/>
      <c r="F14" s="522">
        <f>+F13</f>
        <v>29.901866872785767</v>
      </c>
      <c r="G14" s="522">
        <f t="shared" ref="G14:I14" si="0">+G13</f>
        <v>29.901866872785767</v>
      </c>
      <c r="H14" s="522">
        <f t="shared" si="0"/>
        <v>41.67454256159602</v>
      </c>
      <c r="I14" s="522">
        <f t="shared" si="0"/>
        <v>68.189938328665832</v>
      </c>
    </row>
    <row r="15" spans="1:12" ht="14.45" customHeight="1">
      <c r="A15" s="543"/>
      <c r="C15" s="1612"/>
      <c r="D15" s="1613"/>
      <c r="E15" s="1614"/>
      <c r="F15" s="605"/>
      <c r="G15" s="605"/>
      <c r="H15" s="605"/>
      <c r="I15" s="605"/>
    </row>
    <row r="16" spans="1:12" ht="17.25" customHeight="1">
      <c r="A16" s="543" t="s">
        <v>33</v>
      </c>
      <c r="B16" s="542" t="s">
        <v>19</v>
      </c>
      <c r="C16" s="1612"/>
      <c r="D16" s="1613"/>
      <c r="E16" s="1614"/>
      <c r="F16" s="548"/>
      <c r="G16" s="548"/>
      <c r="H16" s="548"/>
      <c r="I16" s="548"/>
    </row>
    <row r="17" spans="1:9" ht="17.25" customHeight="1">
      <c r="A17" s="543" t="s">
        <v>1430</v>
      </c>
      <c r="B17" s="544" t="s">
        <v>163</v>
      </c>
      <c r="C17" s="1612"/>
      <c r="D17" s="1613"/>
      <c r="E17" s="1614"/>
      <c r="F17" s="545">
        <f>+'True up-snapshot'!E17</f>
        <v>23.966797271099999</v>
      </c>
      <c r="G17" s="545">
        <f>+'True up-snapshot'!F17</f>
        <v>23.966797271099999</v>
      </c>
      <c r="H17" s="548">
        <f>+'APR Snapshot'!E17</f>
        <v>34.812261549395529</v>
      </c>
      <c r="I17" s="548">
        <f>+'ARR snapshot'!E17</f>
        <v>57.484157668761192</v>
      </c>
    </row>
    <row r="18" spans="1:9" ht="35" customHeight="1">
      <c r="A18" s="543"/>
      <c r="B18" s="606" t="s">
        <v>1422</v>
      </c>
      <c r="C18" s="1612"/>
      <c r="D18" s="1613"/>
      <c r="E18" s="1614"/>
      <c r="F18" s="545"/>
      <c r="G18" s="548"/>
      <c r="H18" s="548"/>
      <c r="I18" s="548"/>
    </row>
    <row r="19" spans="1:9" ht="17.25" customHeight="1">
      <c r="A19" s="543" t="s">
        <v>16</v>
      </c>
      <c r="B19" s="544" t="s">
        <v>164</v>
      </c>
      <c r="C19" s="1612"/>
      <c r="D19" s="1613"/>
      <c r="E19" s="1614"/>
      <c r="F19" s="545">
        <f>+'True up-snapshot'!E19</f>
        <v>0.94260739999999998</v>
      </c>
      <c r="G19" s="545">
        <f>+'True up-snapshot'!F19</f>
        <v>0.94260739999999998</v>
      </c>
      <c r="H19" s="548">
        <f>+'APR Snapshot'!E19</f>
        <v>0.2255316277277421</v>
      </c>
      <c r="I19" s="548">
        <f>+'ARR snapshot'!E18</f>
        <v>0.79</v>
      </c>
    </row>
    <row r="20" spans="1:9" ht="17.25" customHeight="1">
      <c r="A20" s="543" t="s">
        <v>17</v>
      </c>
      <c r="B20" s="544" t="s">
        <v>628</v>
      </c>
      <c r="C20" s="1612"/>
      <c r="D20" s="1613"/>
      <c r="E20" s="1614"/>
      <c r="F20" s="548"/>
      <c r="G20" s="548"/>
      <c r="H20" s="548"/>
      <c r="I20" s="548"/>
    </row>
    <row r="21" spans="1:9" ht="17.25" customHeight="1">
      <c r="A21" s="543" t="s">
        <v>82</v>
      </c>
      <c r="B21" s="544" t="s">
        <v>1396</v>
      </c>
      <c r="C21" s="1612"/>
      <c r="D21" s="1613"/>
      <c r="E21" s="1614"/>
      <c r="F21" s="545">
        <f>+'True up-snapshot'!E21</f>
        <v>0</v>
      </c>
      <c r="G21" s="545">
        <f>+'True up-snapshot'!F21</f>
        <v>0</v>
      </c>
      <c r="H21" s="548">
        <f>+'APR Snapshot'!E21</f>
        <v>1.846316865392424</v>
      </c>
      <c r="I21" s="548">
        <f>+'ARR snapshot'!E20</f>
        <v>1.927316865392424</v>
      </c>
    </row>
    <row r="22" spans="1:9" ht="17.25" customHeight="1">
      <c r="A22" s="543" t="s">
        <v>83</v>
      </c>
      <c r="B22" s="544" t="s">
        <v>1378</v>
      </c>
      <c r="C22" s="1612"/>
      <c r="D22" s="1613"/>
      <c r="E22" s="1614"/>
      <c r="F22" s="545">
        <f>+'True up-snapshot'!E22</f>
        <v>0</v>
      </c>
      <c r="G22" s="545">
        <f>+'True up-snapshot'!F22</f>
        <v>0</v>
      </c>
      <c r="H22" s="548">
        <f>+'APR Snapshot'!E22</f>
        <v>0</v>
      </c>
      <c r="I22" s="548">
        <f>+'ARR snapshot'!E21</f>
        <v>0</v>
      </c>
    </row>
    <row r="23" spans="1:9" ht="17.25" customHeight="1">
      <c r="A23" s="543" t="s">
        <v>86</v>
      </c>
      <c r="B23" s="544" t="s">
        <v>1379</v>
      </c>
      <c r="C23" s="1612"/>
      <c r="D23" s="1613"/>
      <c r="E23" s="1614"/>
      <c r="F23" s="545">
        <f>+'True up-snapshot'!E23</f>
        <v>3.1162040363150689</v>
      </c>
      <c r="G23" s="545">
        <f>+'True up-snapshot'!F23</f>
        <v>3.1162040363150689</v>
      </c>
      <c r="H23" s="548">
        <f>+'APR Snapshot'!E23</f>
        <v>3.2299987878666871</v>
      </c>
      <c r="I23" s="548">
        <f>+'ARR snapshot'!E22</f>
        <v>3.3479489943659884</v>
      </c>
    </row>
    <row r="24" spans="1:9" ht="17.25" customHeight="1">
      <c r="A24" s="543"/>
      <c r="B24" s="544" t="s">
        <v>1380</v>
      </c>
      <c r="C24" s="1612"/>
      <c r="D24" s="1613"/>
      <c r="E24" s="1614"/>
      <c r="F24" s="522">
        <f>+F21+F22+F23</f>
        <v>3.1162040363150689</v>
      </c>
      <c r="G24" s="522">
        <f t="shared" ref="G24:I24" si="1">+G21+G22+G23</f>
        <v>3.1162040363150689</v>
      </c>
      <c r="H24" s="522">
        <f t="shared" si="1"/>
        <v>5.0763156532591109</v>
      </c>
      <c r="I24" s="522">
        <f t="shared" si="1"/>
        <v>5.2752658597584121</v>
      </c>
    </row>
    <row r="25" spans="1:9" ht="17.25" customHeight="1">
      <c r="A25" s="543"/>
      <c r="B25" s="606" t="s">
        <v>1423</v>
      </c>
      <c r="C25" s="1612"/>
      <c r="D25" s="1613"/>
      <c r="E25" s="1614"/>
      <c r="F25" s="604"/>
      <c r="G25" s="604"/>
      <c r="H25" s="604"/>
      <c r="I25" s="604"/>
    </row>
    <row r="26" spans="1:9" ht="17.25" customHeight="1">
      <c r="A26" s="543"/>
      <c r="B26" s="606" t="s">
        <v>1424</v>
      </c>
      <c r="C26" s="1612"/>
      <c r="D26" s="1613"/>
      <c r="E26" s="1614"/>
      <c r="F26" s="604"/>
      <c r="G26" s="604"/>
      <c r="H26" s="604"/>
      <c r="I26" s="604"/>
    </row>
    <row r="27" spans="1:9" ht="17.25" customHeight="1">
      <c r="A27" s="543"/>
      <c r="B27" s="606" t="s">
        <v>1425</v>
      </c>
      <c r="C27" s="1612"/>
      <c r="D27" s="1613"/>
      <c r="E27" s="1614"/>
      <c r="F27" s="604"/>
      <c r="G27" s="604"/>
      <c r="H27" s="604"/>
      <c r="I27" s="604"/>
    </row>
    <row r="28" spans="1:9" ht="17.25" customHeight="1">
      <c r="A28" s="543" t="s">
        <v>20</v>
      </c>
      <c r="B28" s="544" t="s">
        <v>21</v>
      </c>
      <c r="C28" s="1612"/>
      <c r="D28" s="1613"/>
      <c r="E28" s="1614"/>
      <c r="F28" s="545">
        <f>+'True up-snapshot'!E28</f>
        <v>1.631878364731169</v>
      </c>
      <c r="G28" s="545">
        <f>+'True up-snapshot'!F28</f>
        <v>1.631878364731169</v>
      </c>
      <c r="H28" s="548">
        <f>+'APR Snapshot'!E28</f>
        <v>1.8974952052630996</v>
      </c>
      <c r="I28" s="605">
        <f>+'ARR snapshot'!E24</f>
        <v>1.9544652052630997</v>
      </c>
    </row>
    <row r="29" spans="1:9" ht="17.25" customHeight="1">
      <c r="A29" s="543" t="s">
        <v>22</v>
      </c>
      <c r="B29" s="544" t="s">
        <v>1381</v>
      </c>
      <c r="C29" s="1612"/>
      <c r="D29" s="1613"/>
      <c r="E29" s="1614"/>
      <c r="F29" s="545">
        <f>+'True up-snapshot'!E29</f>
        <v>2.2234343851288245</v>
      </c>
      <c r="G29" s="545">
        <f>+'True up-snapshot'!F29</f>
        <v>2.2234343851288245</v>
      </c>
      <c r="H29" s="548">
        <f>+'APR Snapshot'!E29</f>
        <v>2.2993696220358704</v>
      </c>
      <c r="I29" s="605">
        <f>+'ARR snapshot'!E25</f>
        <v>2.2024272768198707</v>
      </c>
    </row>
    <row r="30" spans="1:9" ht="28.5">
      <c r="A30" s="543" t="s">
        <v>23</v>
      </c>
      <c r="B30" s="472" t="s">
        <v>650</v>
      </c>
      <c r="C30" s="1612"/>
      <c r="D30" s="1613"/>
      <c r="E30" s="1614"/>
      <c r="F30" s="545">
        <f>+'True up-snapshot'!E30</f>
        <v>0.19441340000000001</v>
      </c>
      <c r="G30" s="545">
        <f>+'True up-snapshot'!F30</f>
        <v>0.19441340000000001</v>
      </c>
      <c r="H30" s="548">
        <f>+'APR Snapshot'!E30</f>
        <v>0.28718032915648384</v>
      </c>
      <c r="I30" s="605">
        <f ca="1">+'ARR snapshot'!E26</f>
        <v>0.49697239895099266</v>
      </c>
    </row>
    <row r="31" spans="1:9" ht="14.45" customHeight="1">
      <c r="A31" s="543"/>
      <c r="B31" s="606" t="s">
        <v>1426</v>
      </c>
      <c r="C31" s="1612"/>
      <c r="D31" s="1613"/>
      <c r="E31" s="1614"/>
      <c r="F31" s="545">
        <f>+'True up-snapshot'!E31</f>
        <v>2.5059999999999998E-6</v>
      </c>
      <c r="G31" s="545">
        <f>+'True up-snapshot'!F31</f>
        <v>2.5059999999999998E-6</v>
      </c>
      <c r="H31" s="548">
        <f>+'APR Snapshot'!E31</f>
        <v>0</v>
      </c>
      <c r="I31" s="605">
        <f>+'ARR snapshot'!E27</f>
        <v>0</v>
      </c>
    </row>
    <row r="32" spans="1:9" ht="17.25" customHeight="1">
      <c r="A32" s="543" t="s">
        <v>24</v>
      </c>
      <c r="B32" s="544" t="s">
        <v>331</v>
      </c>
      <c r="C32" s="1612"/>
      <c r="D32" s="1613"/>
      <c r="E32" s="1614"/>
      <c r="F32" s="545">
        <f>+'True up-snapshot'!E32</f>
        <v>0.24857762455103571</v>
      </c>
      <c r="G32" s="545">
        <f>+'True up-snapshot'!F32</f>
        <v>0.24857762455103571</v>
      </c>
      <c r="H32" s="548">
        <f>+'APR Snapshot'!E32</f>
        <v>0.28930816098658457</v>
      </c>
      <c r="I32" s="605">
        <f ca="1">+'ARR snapshot'!E28</f>
        <v>0.48029606531876645</v>
      </c>
    </row>
    <row r="33" spans="1:9" ht="17.25" customHeight="1">
      <c r="A33" s="543" t="s">
        <v>26</v>
      </c>
      <c r="B33" s="544" t="s">
        <v>1383</v>
      </c>
      <c r="C33" s="1612"/>
      <c r="D33" s="1613"/>
      <c r="E33" s="1614"/>
      <c r="F33" s="545">
        <f>+'True up-snapshot'!E33</f>
        <v>0</v>
      </c>
      <c r="G33" s="545">
        <f>+'True up-snapshot'!F33</f>
        <v>0</v>
      </c>
      <c r="H33" s="548">
        <f>+'APR Snapshot'!E33</f>
        <v>0</v>
      </c>
      <c r="I33" s="605">
        <f>+'ARR snapshot'!E29</f>
        <v>0</v>
      </c>
    </row>
    <row r="34" spans="1:9" ht="17.25" customHeight="1">
      <c r="A34" s="543" t="s">
        <v>82</v>
      </c>
      <c r="B34" s="544" t="s">
        <v>25</v>
      </c>
      <c r="C34" s="1612"/>
      <c r="D34" s="1613"/>
      <c r="E34" s="1614"/>
      <c r="F34" s="545">
        <f>+'True up-snapshot'!E34</f>
        <v>0</v>
      </c>
      <c r="G34" s="545">
        <f>+'True up-snapshot'!F34</f>
        <v>0</v>
      </c>
      <c r="H34" s="548">
        <f>+'APR Snapshot'!E34</f>
        <v>0</v>
      </c>
      <c r="I34" s="605">
        <f>+'ARR snapshot'!E30</f>
        <v>0</v>
      </c>
    </row>
    <row r="35" spans="1:9" ht="17.25" customHeight="1">
      <c r="A35" s="543" t="s">
        <v>89</v>
      </c>
      <c r="B35" s="544" t="s">
        <v>28</v>
      </c>
      <c r="C35" s="1612"/>
      <c r="D35" s="1613"/>
      <c r="E35" s="1614"/>
      <c r="F35" s="545">
        <f>+'True up-snapshot'!E35</f>
        <v>1.6616851788531815</v>
      </c>
      <c r="G35" s="545">
        <f>+'True up-snapshot'!F35</f>
        <v>1.6616851788531815</v>
      </c>
      <c r="H35" s="548">
        <f>+'APR Snapshot'!E35</f>
        <v>1.6616851788531815</v>
      </c>
      <c r="I35" s="605">
        <f>+'ARR snapshot'!E31</f>
        <v>1.7224351788531813</v>
      </c>
    </row>
    <row r="36" spans="1:9" ht="17.25" customHeight="1">
      <c r="A36" s="543" t="s">
        <v>487</v>
      </c>
      <c r="B36" s="544" t="s">
        <v>87</v>
      </c>
      <c r="C36" s="1612"/>
      <c r="D36" s="1613"/>
      <c r="E36" s="1614"/>
      <c r="F36" s="545">
        <f>+'True up-snapshot'!E36</f>
        <v>0</v>
      </c>
      <c r="G36" s="545">
        <f>+'True up-snapshot'!F36</f>
        <v>0</v>
      </c>
      <c r="H36" s="548">
        <f>+'APR Snapshot'!E36</f>
        <v>0</v>
      </c>
      <c r="I36" s="605">
        <f>+'ARR snapshot'!E32</f>
        <v>0</v>
      </c>
    </row>
    <row r="37" spans="1:9" s="2" customFormat="1" ht="17.25" customHeight="1">
      <c r="A37" s="546"/>
      <c r="B37" s="542" t="s">
        <v>606</v>
      </c>
      <c r="C37" s="1612"/>
      <c r="D37" s="1613"/>
      <c r="E37" s="1614"/>
      <c r="F37" s="522">
        <f>SUM(F24:F36)+SUM(F17:F19)</f>
        <v>33.985600166679276</v>
      </c>
      <c r="G37" s="522">
        <f>SUM(G24:G36)+SUM(G17:G19)</f>
        <v>33.985600166679276</v>
      </c>
      <c r="H37" s="522">
        <f>SUM(H24:H36)+SUM(H17:H19)</f>
        <v>46.549147326677598</v>
      </c>
      <c r="I37" s="522">
        <f ca="1">SUM(I24:I36)+SUM(I17:I19)</f>
        <v>70.406019653725508</v>
      </c>
    </row>
    <row r="38" spans="1:9" ht="17.25" customHeight="1">
      <c r="A38" s="543"/>
      <c r="B38" s="549"/>
      <c r="C38" s="1612"/>
      <c r="D38" s="1613"/>
      <c r="E38" s="1614"/>
      <c r="F38" s="548"/>
      <c r="G38" s="548"/>
      <c r="H38" s="548"/>
      <c r="I38" s="548"/>
    </row>
    <row r="39" spans="1:9" ht="17.25" customHeight="1">
      <c r="A39" s="543" t="s">
        <v>39</v>
      </c>
      <c r="B39" s="542" t="s">
        <v>323</v>
      </c>
      <c r="C39" s="1612"/>
      <c r="D39" s="1613"/>
      <c r="E39" s="1614"/>
      <c r="F39" s="548"/>
      <c r="G39" s="548"/>
      <c r="H39" s="548"/>
      <c r="I39" s="548"/>
    </row>
    <row r="40" spans="1:9" ht="17.25" customHeight="1">
      <c r="A40" s="543" t="s">
        <v>15</v>
      </c>
      <c r="B40" s="544" t="s">
        <v>84</v>
      </c>
      <c r="C40" s="1612"/>
      <c r="D40" s="1613"/>
      <c r="E40" s="1614"/>
      <c r="F40" s="545">
        <f>+'True up-snapshot'!E40</f>
        <v>0</v>
      </c>
      <c r="G40" s="545">
        <f>+'True up-snapshot'!F40</f>
        <v>0</v>
      </c>
      <c r="H40" s="548"/>
      <c r="I40" s="548"/>
    </row>
    <row r="41" spans="1:9" ht="17.25" customHeight="1">
      <c r="A41" s="543" t="s">
        <v>16</v>
      </c>
      <c r="B41" s="544" t="s">
        <v>88</v>
      </c>
      <c r="C41" s="1612"/>
      <c r="D41" s="1613"/>
      <c r="E41" s="1614"/>
      <c r="F41" s="545">
        <f>+'True up-snapshot'!E41</f>
        <v>0.23975478993670318</v>
      </c>
      <c r="G41" s="545">
        <f>+'True up-snapshot'!F41</f>
        <v>0.23975478993670318</v>
      </c>
      <c r="H41" s="548">
        <f>+'APR Snapshot'!E41</f>
        <v>0.2431547899367032</v>
      </c>
      <c r="I41" s="548">
        <f>+'ARR snapshot'!E37</f>
        <v>0.2431547899367032</v>
      </c>
    </row>
    <row r="42" spans="1:9" ht="17.25" customHeight="1">
      <c r="A42" s="1006" t="s">
        <v>39</v>
      </c>
      <c r="B42" s="131" t="s">
        <v>320</v>
      </c>
      <c r="C42" s="1612"/>
      <c r="D42" s="1613"/>
      <c r="E42" s="1614"/>
      <c r="F42" s="545">
        <f>+'True up-snapshot'!E42</f>
        <v>0</v>
      </c>
      <c r="G42" s="545">
        <f>+'True up-snapshot'!F42</f>
        <v>0</v>
      </c>
      <c r="H42" s="948"/>
      <c r="I42" s="948"/>
    </row>
    <row r="43" spans="1:9" ht="17.25" customHeight="1">
      <c r="A43" s="546"/>
      <c r="B43" s="542" t="s">
        <v>605</v>
      </c>
      <c r="C43" s="1612"/>
      <c r="D43" s="1613"/>
      <c r="E43" s="1614"/>
      <c r="F43" s="522">
        <f>SUM(F40:F42)</f>
        <v>0.23975478993670318</v>
      </c>
      <c r="G43" s="522">
        <f>SUM(G40:G42)</f>
        <v>0.23975478993670318</v>
      </c>
      <c r="H43" s="522">
        <f t="shared" ref="H43:I43" si="2">SUM(H40:H42)</f>
        <v>0.2431547899367032</v>
      </c>
      <c r="I43" s="522">
        <f t="shared" si="2"/>
        <v>0.2431547899367032</v>
      </c>
    </row>
    <row r="44" spans="1:9" ht="15.75" customHeight="1">
      <c r="A44" s="546" t="s">
        <v>40</v>
      </c>
      <c r="B44" s="550" t="s">
        <v>160</v>
      </c>
      <c r="C44" s="1612"/>
      <c r="D44" s="1613"/>
      <c r="E44" s="1614"/>
      <c r="F44" s="522">
        <f>+F37-F43</f>
        <v>33.745845376742572</v>
      </c>
      <c r="G44" s="522">
        <f t="shared" ref="G44:I44" si="3">+G37-G43</f>
        <v>33.745845376742572</v>
      </c>
      <c r="H44" s="522">
        <f t="shared" si="3"/>
        <v>46.305992536740895</v>
      </c>
      <c r="I44" s="522">
        <f t="shared" ca="1" si="3"/>
        <v>70.162864863788812</v>
      </c>
    </row>
    <row r="45" spans="1:9" ht="16.5" customHeight="1">
      <c r="A45" s="551" t="s">
        <v>41</v>
      </c>
      <c r="B45" s="552" t="s">
        <v>161</v>
      </c>
      <c r="C45" s="1612"/>
      <c r="D45" s="1613"/>
      <c r="E45" s="1614"/>
      <c r="F45" s="521">
        <f>+F14-F44</f>
        <v>-3.8439785039568051</v>
      </c>
      <c r="G45" s="521">
        <f t="shared" ref="G45:I45" si="4">+G14-G44</f>
        <v>-3.8439785039568051</v>
      </c>
      <c r="H45" s="521">
        <f t="shared" si="4"/>
        <v>-4.631449975144875</v>
      </c>
      <c r="I45" s="521">
        <f t="shared" ca="1" si="4"/>
        <v>-1.9729265351229799</v>
      </c>
    </row>
    <row r="46" spans="1:9" ht="17.25" customHeight="1">
      <c r="A46" s="551" t="s">
        <v>42</v>
      </c>
      <c r="B46" s="544" t="s">
        <v>318</v>
      </c>
      <c r="C46" s="1612"/>
      <c r="D46" s="1613"/>
      <c r="E46" s="1614"/>
      <c r="F46" s="550"/>
      <c r="G46" s="550"/>
      <c r="H46" s="550"/>
      <c r="I46" s="550"/>
    </row>
    <row r="47" spans="1:9" ht="17.25" customHeight="1">
      <c r="A47" s="546" t="s">
        <v>90</v>
      </c>
      <c r="B47" s="522" t="s">
        <v>162</v>
      </c>
      <c r="C47" s="1612"/>
      <c r="D47" s="1613"/>
      <c r="E47" s="1614"/>
      <c r="F47" s="522">
        <f>+F45+F46</f>
        <v>-3.8439785039568051</v>
      </c>
      <c r="G47" s="522">
        <f t="shared" ref="G47:I47" si="5">+G45+G46</f>
        <v>-3.8439785039568051</v>
      </c>
      <c r="H47" s="522">
        <f t="shared" si="5"/>
        <v>-4.631449975144875</v>
      </c>
      <c r="I47" s="522">
        <f t="shared" ca="1" si="5"/>
        <v>-1.9729265351229799</v>
      </c>
    </row>
    <row r="48" spans="1:9" ht="17.25" customHeight="1">
      <c r="A48" s="551" t="s">
        <v>91</v>
      </c>
      <c r="B48" s="495" t="s">
        <v>319</v>
      </c>
      <c r="C48" s="1612"/>
      <c r="D48" s="1613"/>
      <c r="E48" s="1614"/>
      <c r="F48" s="548"/>
      <c r="G48" s="548"/>
      <c r="H48" s="548"/>
      <c r="I48" s="548"/>
    </row>
    <row r="49" spans="1:12" ht="17.25" customHeight="1">
      <c r="A49" s="609" t="s">
        <v>92</v>
      </c>
      <c r="B49" s="607" t="s">
        <v>1427</v>
      </c>
      <c r="C49" s="1612"/>
      <c r="D49" s="1613"/>
      <c r="E49" s="1614"/>
      <c r="F49" s="548"/>
      <c r="G49" s="548"/>
      <c r="H49" s="548"/>
      <c r="I49" s="548"/>
    </row>
    <row r="50" spans="1:12" ht="17.25" customHeight="1">
      <c r="A50" s="609" t="s">
        <v>155</v>
      </c>
      <c r="B50" s="608" t="s">
        <v>1440</v>
      </c>
      <c r="C50" s="1612"/>
      <c r="D50" s="1613"/>
      <c r="E50" s="1614"/>
      <c r="F50" s="522">
        <f>+F47-F48-F49</f>
        <v>-3.8439785039568051</v>
      </c>
      <c r="G50" s="522">
        <f t="shared" ref="G50:I50" si="6">+G47-G48-G49</f>
        <v>-3.8439785039568051</v>
      </c>
      <c r="H50" s="522">
        <f t="shared" si="6"/>
        <v>-4.631449975144875</v>
      </c>
      <c r="I50" s="522">
        <f t="shared" ca="1" si="6"/>
        <v>-1.9729265351229799</v>
      </c>
    </row>
    <row r="51" spans="1:12" ht="28.5">
      <c r="A51" s="609" t="s">
        <v>316</v>
      </c>
      <c r="B51" s="15" t="s">
        <v>2198</v>
      </c>
      <c r="C51" s="1612"/>
      <c r="D51" s="1613"/>
      <c r="E51" s="1614"/>
      <c r="F51" s="522">
        <v>0</v>
      </c>
      <c r="G51" s="522">
        <v>0</v>
      </c>
      <c r="H51" s="522">
        <f>+G54</f>
        <v>-4.0627430066237711</v>
      </c>
      <c r="I51" s="522">
        <f>+H54</f>
        <v>-9.3798782911447383</v>
      </c>
      <c r="K51" s="676">
        <f ca="1">+I44</f>
        <v>70.162864863788812</v>
      </c>
      <c r="L51" s="960">
        <f ca="1">+G52+G53+H50+H53+I53</f>
        <v>-10.494260008705657</v>
      </c>
    </row>
    <row r="52" spans="1:12" ht="28.5">
      <c r="A52" s="609" t="s">
        <v>317</v>
      </c>
      <c r="B52" s="15" t="s">
        <v>2199</v>
      </c>
      <c r="C52" s="1612"/>
      <c r="D52" s="1613"/>
      <c r="E52" s="1614"/>
      <c r="F52" s="522">
        <f>+F50+F51</f>
        <v>-3.8439785039568051</v>
      </c>
      <c r="G52" s="522">
        <f t="shared" ref="G52:I52" si="7">+G50+G51</f>
        <v>-3.8439785039568051</v>
      </c>
      <c r="H52" s="522">
        <f t="shared" si="7"/>
        <v>-8.6941929817686461</v>
      </c>
      <c r="I52" s="522">
        <f t="shared" ca="1" si="7"/>
        <v>-11.352804826267718</v>
      </c>
      <c r="L52" s="960">
        <f ca="1">+K51-L51</f>
        <v>80.657124872494464</v>
      </c>
    </row>
    <row r="53" spans="1:12" ht="17.25" customHeight="1">
      <c r="A53" s="101" t="s">
        <v>316</v>
      </c>
      <c r="B53" s="367" t="s">
        <v>2197</v>
      </c>
      <c r="C53" s="1612"/>
      <c r="D53" s="1613"/>
      <c r="E53" s="1614"/>
      <c r="F53" s="672">
        <f>+(F51+F52/2)*'F27_Work Cap'!E15</f>
        <v>-0.21876450266696634</v>
      </c>
      <c r="G53" s="672">
        <f>+(G51+G52/2)*'F27_Work Cap'!F15</f>
        <v>-0.21876450266696634</v>
      </c>
      <c r="H53" s="672">
        <f>AVERAGE(H51,H52)*'F27_Work Cap'!H15</f>
        <v>-0.6856853093760924</v>
      </c>
      <c r="I53" s="672">
        <f ca="1">AVERAGE(I51,I52)*'F27_Work Cap'!I15</f>
        <v>-1.1143817175609194</v>
      </c>
    </row>
    <row r="54" spans="1:12" ht="17.25" customHeight="1">
      <c r="A54" s="101" t="s">
        <v>317</v>
      </c>
      <c r="B54" s="366" t="s">
        <v>2200</v>
      </c>
      <c r="C54" s="1615"/>
      <c r="D54" s="1616"/>
      <c r="E54" s="1617"/>
      <c r="F54" s="850">
        <f>+F52+F53</f>
        <v>-4.0627430066237711</v>
      </c>
      <c r="G54" s="850">
        <f>+G52+G53</f>
        <v>-4.0627430066237711</v>
      </c>
      <c r="H54" s="850">
        <f>+H52+H53</f>
        <v>-9.3798782911447383</v>
      </c>
      <c r="I54" s="850">
        <f ca="1">+I52+I53</f>
        <v>-12.467186543828637</v>
      </c>
    </row>
    <row r="55" spans="1:12" ht="17.25" customHeight="1">
      <c r="B55" t="s">
        <v>1411</v>
      </c>
    </row>
    <row r="56" spans="1:12" ht="17.25" customHeight="1">
      <c r="E56" s="2"/>
      <c r="F56" s="2"/>
      <c r="G56" s="2"/>
    </row>
  </sheetData>
  <mergeCells count="9">
    <mergeCell ref="C8:E54"/>
    <mergeCell ref="A1:B1"/>
    <mergeCell ref="E6:G6"/>
    <mergeCell ref="H4:I4"/>
    <mergeCell ref="E5:G5"/>
    <mergeCell ref="F4:G4"/>
    <mergeCell ref="B5:B7"/>
    <mergeCell ref="A5:A7"/>
    <mergeCell ref="C5:D5"/>
  </mergeCells>
  <printOptions horizontalCentered="1"/>
  <pageMargins left="0.27559055118110237" right="0.31496062992125984" top="0.74803149606299213" bottom="0.74803149606299213" header="0.31496062992125984" footer="0.31496062992125984"/>
  <pageSetup paperSize="5"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66</vt:i4>
      </vt:variant>
      <vt:variant>
        <vt:lpstr>Named Ranges</vt:lpstr>
      </vt:variant>
      <vt:variant>
        <vt:i4>71</vt:i4>
      </vt:variant>
    </vt:vector>
  </HeadingPairs>
  <TitlesOfParts>
    <vt:vector size="137" baseType="lpstr">
      <vt:lpstr>Working</vt:lpstr>
      <vt:lpstr>Index</vt:lpstr>
      <vt:lpstr>BS1</vt:lpstr>
      <vt:lpstr>BS2</vt:lpstr>
      <vt:lpstr>BS3</vt:lpstr>
      <vt:lpstr>True up-snapshot</vt:lpstr>
      <vt:lpstr>Energy Balance</vt:lpstr>
      <vt:lpstr>APR Snapshot</vt:lpstr>
      <vt:lpstr>ARR</vt:lpstr>
      <vt:lpstr>ARR snapshot</vt:lpstr>
      <vt:lpstr>ESR1_OA</vt:lpstr>
      <vt:lpstr>ESR2_Sales Forecast</vt:lpstr>
      <vt:lpstr>ESR3_Curr Tariff</vt:lpstr>
      <vt:lpstr>ESR4_Prop Tariff</vt:lpstr>
      <vt:lpstr>ESR4A_Prop Tariff Rate Sch.</vt:lpstr>
      <vt:lpstr>ESR5_BD&amp;Rev</vt:lpstr>
      <vt:lpstr>ESR6_Subsidy</vt:lpstr>
      <vt:lpstr>ESR7_BD monthly</vt:lpstr>
      <vt:lpstr>F1_PP_Annual</vt:lpstr>
      <vt:lpstr>F2_PP_Assump</vt:lpstr>
      <vt:lpstr>F3_PP_Monthly 24-25</vt:lpstr>
      <vt:lpstr>F3.1_PP_Monthly 25-26</vt:lpstr>
      <vt:lpstr>F3.2_PP_Monthly 26-27</vt:lpstr>
      <vt:lpstr>F4_PP_MOD</vt:lpstr>
      <vt:lpstr>F5_PP_Renew</vt:lpstr>
      <vt:lpstr>F6_PP6_RPO</vt:lpstr>
      <vt:lpstr>F7_PP_Comp Bid</vt:lpstr>
      <vt:lpstr>F8_PP_Short Term</vt:lpstr>
      <vt:lpstr>F9_PP_plan</vt:lpstr>
      <vt:lpstr>F10_PP_BST</vt:lpstr>
      <vt:lpstr>F11_CAP_Asset not in use</vt:lpstr>
      <vt:lpstr>F12_CAP_Cons Contri</vt:lpstr>
      <vt:lpstr>F13_CAP_Plan</vt:lpstr>
      <vt:lpstr>F14_CAP_Cap Cost</vt:lpstr>
      <vt:lpstr>F15_CAP_CWIP</vt:lpstr>
      <vt:lpstr>F16_CAP_CAPEX &amp; CAPITALISATION</vt:lpstr>
      <vt:lpstr>F17_O&amp;M_CPI</vt:lpstr>
      <vt:lpstr>F18_O&amp;M_WPI</vt:lpstr>
      <vt:lpstr>F19_O&amp;M_EE n AG base</vt:lpstr>
      <vt:lpstr>F20_O&amp;M_EE</vt:lpstr>
      <vt:lpstr>F21_O&amp;M_EE (A)</vt:lpstr>
      <vt:lpstr>F22_O&amp;M_R&amp;M</vt:lpstr>
      <vt:lpstr>F23_O&amp;M_A&amp;G</vt:lpstr>
      <vt:lpstr>F24_Dep</vt:lpstr>
      <vt:lpstr>F25_IOL</vt:lpstr>
      <vt:lpstr>F26_ROE</vt:lpstr>
      <vt:lpstr>F27_Work Cap</vt:lpstr>
      <vt:lpstr>F28_NTI</vt:lpstr>
      <vt:lpstr>F29_Income Tax</vt:lpstr>
      <vt:lpstr>F30_CSD monthly</vt:lpstr>
      <vt:lpstr>F30A_CSD</vt:lpstr>
      <vt:lpstr>F31_Recievables</vt:lpstr>
      <vt:lpstr>F32_Wheeling-Supply</vt:lpstr>
      <vt:lpstr>F33_CSS</vt:lpstr>
      <vt:lpstr>P1_DL</vt:lpstr>
      <vt:lpstr>P1A_DL HT-LT</vt:lpstr>
      <vt:lpstr>P2_AVG Supply HRS</vt:lpstr>
      <vt:lpstr>P3_Bad Debts</vt:lpstr>
      <vt:lpstr>P4_Phy Stat</vt:lpstr>
      <vt:lpstr>P5_Arrear</vt:lpstr>
      <vt:lpstr>P6_Cons Complaints</vt:lpstr>
      <vt:lpstr>P7_Trans Failure</vt:lpstr>
      <vt:lpstr>P8_Elec Accidents</vt:lpstr>
      <vt:lpstr>F9_Peak Demand</vt:lpstr>
      <vt:lpstr>P10_Pending Cases</vt:lpstr>
      <vt:lpstr>P11_Land</vt:lpstr>
      <vt:lpstr>'F3.1_PP_Monthly 25-26'!PP</vt:lpstr>
      <vt:lpstr>'F3.2_PP_Monthly 26-27'!PP</vt:lpstr>
      <vt:lpstr>PP</vt:lpstr>
      <vt:lpstr>'APR Snapshot'!Print_Area</vt:lpstr>
      <vt:lpstr>ARR!Print_Area</vt:lpstr>
      <vt:lpstr>'ARR snapshot'!Print_Area</vt:lpstr>
      <vt:lpstr>'BS1'!Print_Area</vt:lpstr>
      <vt:lpstr>'BS2'!Print_Area</vt:lpstr>
      <vt:lpstr>'BS3'!Print_Area</vt:lpstr>
      <vt:lpstr>'Energy Balance'!Print_Area</vt:lpstr>
      <vt:lpstr>'ESR2_Sales Forecast'!Print_Area</vt:lpstr>
      <vt:lpstr>'ESR3_Curr Tariff'!Print_Area</vt:lpstr>
      <vt:lpstr>'ESR4_Prop Tariff'!Print_Area</vt:lpstr>
      <vt:lpstr>'ESR4A_Prop Tariff Rate Sch.'!Print_Area</vt:lpstr>
      <vt:lpstr>ESR6_Subsidy!Print_Area</vt:lpstr>
      <vt:lpstr>F1_PP_Annual!Print_Area</vt:lpstr>
      <vt:lpstr>F10_PP_BST!Print_Area</vt:lpstr>
      <vt:lpstr>'F11_CAP_Asset not in use'!Print_Area</vt:lpstr>
      <vt:lpstr>'F14_CAP_Cap Cost'!Print_Area</vt:lpstr>
      <vt:lpstr>F15_CAP_CWIP!Print_Area</vt:lpstr>
      <vt:lpstr>'F17_O&amp;M_CPI'!Print_Area</vt:lpstr>
      <vt:lpstr>'F18_O&amp;M_WPI'!Print_Area</vt:lpstr>
      <vt:lpstr>'F19_O&amp;M_EE n AG base'!Print_Area</vt:lpstr>
      <vt:lpstr>F2_PP_Assump!Print_Area</vt:lpstr>
      <vt:lpstr>'F20_O&amp;M_EE'!Print_Area</vt:lpstr>
      <vt:lpstr>'F21_O&amp;M_EE (A)'!Print_Area</vt:lpstr>
      <vt:lpstr>'F22_O&amp;M_R&amp;M'!Print_Area</vt:lpstr>
      <vt:lpstr>'F23_O&amp;M_A&amp;G'!Print_Area</vt:lpstr>
      <vt:lpstr>F24_Dep!Print_Area</vt:lpstr>
      <vt:lpstr>F25_IOL!Print_Area</vt:lpstr>
      <vt:lpstr>F26_ROE!Print_Area</vt:lpstr>
      <vt:lpstr>'F27_Work Cap'!Print_Area</vt:lpstr>
      <vt:lpstr>F28_NTI!Print_Area</vt:lpstr>
      <vt:lpstr>'F3.1_PP_Monthly 25-26'!Print_Area</vt:lpstr>
      <vt:lpstr>'F3.2_PP_Monthly 26-27'!Print_Area</vt:lpstr>
      <vt:lpstr>'F3_PP_Monthly 24-25'!Print_Area</vt:lpstr>
      <vt:lpstr>'F30_CSD monthly'!Print_Area</vt:lpstr>
      <vt:lpstr>F30A_CSD!Print_Area</vt:lpstr>
      <vt:lpstr>F33_CSS!Print_Area</vt:lpstr>
      <vt:lpstr>F4_PP_MOD!Print_Area</vt:lpstr>
      <vt:lpstr>F5_PP_Renew!Print_Area</vt:lpstr>
      <vt:lpstr>F6_PP6_RPO!Print_Area</vt:lpstr>
      <vt:lpstr>'F7_PP_Comp Bid'!Print_Area</vt:lpstr>
      <vt:lpstr>'F8_PP_Short Term'!Print_Area</vt:lpstr>
      <vt:lpstr>'F9_Peak Demand'!Print_Area</vt:lpstr>
      <vt:lpstr>F9_PP_plan!Print_Area</vt:lpstr>
      <vt:lpstr>Index!Print_Area</vt:lpstr>
      <vt:lpstr>'P10_Pending Cases'!Print_Area</vt:lpstr>
      <vt:lpstr>'P1A_DL HT-LT'!Print_Area</vt:lpstr>
      <vt:lpstr>'P3_Bad Debts'!Print_Area</vt:lpstr>
      <vt:lpstr>'P6_Cons Complaints'!Print_Area</vt:lpstr>
      <vt:lpstr>'P8_Elec Accidents'!Print_Area</vt:lpstr>
      <vt:lpstr>'True up-snapshot'!Print_Area</vt:lpstr>
      <vt:lpstr>ARR!Print_Titles</vt:lpstr>
      <vt:lpstr>'BS1'!Print_Titles</vt:lpstr>
      <vt:lpstr>'BS2'!Print_Titles</vt:lpstr>
      <vt:lpstr>'BS3'!Print_Titles</vt:lpstr>
      <vt:lpstr>'ESR3_Curr Tariff'!Print_Titles</vt:lpstr>
      <vt:lpstr>'ESR4_Prop Tariff'!Print_Titles</vt:lpstr>
      <vt:lpstr>'ESR4A_Prop Tariff Rate Sch.'!Print_Titles</vt:lpstr>
      <vt:lpstr>'ESR5_BD&amp;Rev'!Print_Titles</vt:lpstr>
      <vt:lpstr>ESR6_Subsidy!Print_Titles</vt:lpstr>
      <vt:lpstr>F1_PP_Annual!Print_Titles</vt:lpstr>
      <vt:lpstr>'F3.1_PP_Monthly 25-26'!Print_Titles</vt:lpstr>
      <vt:lpstr>'F3.2_PP_Monthly 26-27'!Print_Titles</vt:lpstr>
      <vt:lpstr>'F3_PP_Monthly 24-25'!Print_Titles</vt:lpstr>
      <vt:lpstr>F4_PP_MOD!Print_Titles</vt:lpstr>
      <vt:lpstr>'F7_PP_Comp Bid'!Print_Titles</vt:lpstr>
      <vt:lpstr>Index!Print_Titles</vt:lpstr>
      <vt:lpstr>'P1A_DL HT-LT'!Print_Titles</vt:lpstr>
      <vt:lpstr>'P2_AVG Supply HRS'!Print_Titles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BHEL</dc:creator>
  <cp:lastModifiedBy>Pramod Burle</cp:lastModifiedBy>
  <cp:lastPrinted>2025-12-03T06:36:47Z</cp:lastPrinted>
  <dcterms:created xsi:type="dcterms:W3CDTF">2013-08-17T04:54:53Z</dcterms:created>
  <dcterms:modified xsi:type="dcterms:W3CDTF">2025-12-03T12:39:18Z</dcterms:modified>
</cp:coreProperties>
</file>